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rbi\Documents\Perso\Divers\Cadrans 2023\"/>
    </mc:Choice>
  </mc:AlternateContent>
  <xr:revisionPtr revIDLastSave="0" documentId="13_ncr:1_{E611D95B-4B00-4491-B6AC-D482A0ECE73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ommentaires" sheetId="11" r:id="rId1"/>
    <sheet name="Base" sheetId="2" r:id="rId2"/>
    <sheet name="Base-Classt" sheetId="1" state="hidden" r:id="rId3"/>
    <sheet name="Classement" sheetId="3" r:id="rId4"/>
    <sheet name="Etrangers" sheetId="4" r:id="rId5"/>
    <sheet name="Base-Année" sheetId="10" state="hidden" r:id="rId6"/>
    <sheet name="Rang Etrangers" sheetId="12" state="hidden" r:id="rId7"/>
    <sheet name="Année" sheetId="9" r:id="rId8"/>
    <sheet name="Nouveaux Etrangers" sheetId="7" state="hidden" r:id="rId9"/>
  </sheets>
  <definedNames>
    <definedName name="_xlnm._FilterDatabase" localSheetId="1" hidden="1">Base!$A$3:$FO$54</definedName>
    <definedName name="Base" localSheetId="5">'Base-Année'!$B$4:$AG$105</definedName>
    <definedName name="BaseA">'Base-Année'!$B$4:$CE$105</definedName>
    <definedName name="BaseC">'Base-Classt'!$B$4:$CG$105</definedName>
    <definedName name="Ordreétrangersan">'Rang Etrangers'!$A$4:$F$84</definedName>
    <definedName name="Ordreétrangerscum">'Rang Etrangers'!$B$4:$F$84</definedName>
    <definedName name="_xlnm.Print_Area" localSheetId="7">Année!$A$1:$H$62</definedName>
    <definedName name="_xlnm.Print_Area" localSheetId="1">Base!$A$1:$FN$59</definedName>
    <definedName name="_xlnm.Print_Area" localSheetId="4">Etrangers!$A$1:$DV$56</definedName>
    <definedName name="_xlnm.Print_Area" localSheetId="8">'Nouveaux Etrangers'!$A$1:$AF$38</definedName>
    <definedName name="_xlnm.Print_Area" localSheetId="6">'Rang Etrangers'!$C$1:$D$48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9" l="1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B54" i="3"/>
  <c r="J24" i="3"/>
  <c r="J25" i="3" s="1"/>
  <c r="J26" i="3" s="1"/>
  <c r="J27" i="3" s="1"/>
  <c r="J28" i="3" s="1"/>
  <c r="J31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P7" i="3"/>
  <c r="O7" i="3"/>
  <c r="Q7" i="3" s="1"/>
  <c r="N7" i="3"/>
  <c r="P6" i="3"/>
  <c r="O6" i="3"/>
  <c r="Q6" i="3" s="1"/>
  <c r="N6" i="3"/>
  <c r="P5" i="3"/>
  <c r="O5" i="3"/>
  <c r="Q5" i="3" s="1"/>
  <c r="N5" i="3"/>
  <c r="N8" i="3"/>
  <c r="O8" i="3"/>
  <c r="P8" i="3"/>
  <c r="Q8" i="3"/>
  <c r="N9" i="3"/>
  <c r="O9" i="3"/>
  <c r="P9" i="3"/>
  <c r="Q9" i="3"/>
  <c r="N10" i="3"/>
  <c r="O10" i="3"/>
  <c r="P10" i="3"/>
  <c r="Q10" i="3"/>
  <c r="N11" i="3"/>
  <c r="O11" i="3"/>
  <c r="P11" i="3"/>
  <c r="Q11" i="3"/>
  <c r="N12" i="3"/>
  <c r="O12" i="3"/>
  <c r="P12" i="3"/>
  <c r="Q12" i="3"/>
  <c r="N13" i="3"/>
  <c r="O13" i="3"/>
  <c r="P13" i="3"/>
  <c r="Q13" i="3"/>
  <c r="N14" i="3"/>
  <c r="O14" i="3"/>
  <c r="P14" i="3"/>
  <c r="Q14" i="3"/>
  <c r="N15" i="3"/>
  <c r="O15" i="3"/>
  <c r="P15" i="3"/>
  <c r="Q15" i="3"/>
  <c r="N16" i="3"/>
  <c r="O16" i="3"/>
  <c r="P16" i="3"/>
  <c r="Q16" i="3"/>
  <c r="N17" i="3"/>
  <c r="O17" i="3"/>
  <c r="P17" i="3"/>
  <c r="Q17" i="3"/>
  <c r="N18" i="3"/>
  <c r="O18" i="3"/>
  <c r="P18" i="3"/>
  <c r="Q18" i="3"/>
  <c r="N19" i="3"/>
  <c r="O19" i="3"/>
  <c r="P19" i="3"/>
  <c r="Q19" i="3"/>
  <c r="N20" i="3"/>
  <c r="O20" i="3"/>
  <c r="P20" i="3"/>
  <c r="Q20" i="3"/>
  <c r="N21" i="3"/>
  <c r="O21" i="3"/>
  <c r="P21" i="3"/>
  <c r="Q21" i="3"/>
  <c r="N22" i="3"/>
  <c r="O22" i="3"/>
  <c r="P22" i="3"/>
  <c r="Q22" i="3"/>
  <c r="N23" i="3"/>
  <c r="O23" i="3"/>
  <c r="P23" i="3"/>
  <c r="Q23" i="3"/>
  <c r="N24" i="3"/>
  <c r="O24" i="3"/>
  <c r="P24" i="3"/>
  <c r="Q24" i="3"/>
  <c r="N25" i="3"/>
  <c r="O25" i="3"/>
  <c r="P25" i="3"/>
  <c r="Q25" i="3"/>
  <c r="N26" i="3"/>
  <c r="O26" i="3"/>
  <c r="P26" i="3"/>
  <c r="Q26" i="3"/>
  <c r="N27" i="3"/>
  <c r="O27" i="3"/>
  <c r="P27" i="3"/>
  <c r="Q27" i="3"/>
  <c r="N28" i="3"/>
  <c r="O28" i="3"/>
  <c r="P28" i="3"/>
  <c r="Q28" i="3"/>
  <c r="N29" i="3"/>
  <c r="O29" i="3"/>
  <c r="P29" i="3"/>
  <c r="Q29" i="3"/>
  <c r="N30" i="3"/>
  <c r="O30" i="3"/>
  <c r="P30" i="3"/>
  <c r="Q30" i="3"/>
  <c r="N31" i="3"/>
  <c r="O31" i="3"/>
  <c r="P31" i="3"/>
  <c r="Q31" i="3"/>
  <c r="N32" i="3"/>
  <c r="O32" i="3"/>
  <c r="P32" i="3"/>
  <c r="Q32" i="3"/>
  <c r="N33" i="3"/>
  <c r="O33" i="3"/>
  <c r="P33" i="3"/>
  <c r="Q33" i="3"/>
  <c r="N34" i="3"/>
  <c r="O34" i="3"/>
  <c r="P34" i="3"/>
  <c r="Q34" i="3"/>
  <c r="N35" i="3"/>
  <c r="O35" i="3"/>
  <c r="P35" i="3"/>
  <c r="Q35" i="3"/>
  <c r="N36" i="3"/>
  <c r="O36" i="3"/>
  <c r="P36" i="3"/>
  <c r="Q36" i="3"/>
  <c r="N37" i="3"/>
  <c r="O37" i="3"/>
  <c r="P37" i="3"/>
  <c r="Q37" i="3"/>
  <c r="N38" i="3"/>
  <c r="O38" i="3"/>
  <c r="P38" i="3"/>
  <c r="Q38" i="3"/>
  <c r="N39" i="3"/>
  <c r="O39" i="3"/>
  <c r="P39" i="3"/>
  <c r="Q39" i="3"/>
  <c r="N40" i="3"/>
  <c r="O40" i="3"/>
  <c r="P40" i="3"/>
  <c r="Q40" i="3"/>
  <c r="N41" i="3"/>
  <c r="O41" i="3"/>
  <c r="P41" i="3"/>
  <c r="Q41" i="3"/>
  <c r="N42" i="3"/>
  <c r="O42" i="3"/>
  <c r="P42" i="3"/>
  <c r="Q42" i="3"/>
  <c r="N43" i="3"/>
  <c r="O43" i="3"/>
  <c r="P43" i="3"/>
  <c r="Q43" i="3"/>
  <c r="N44" i="3"/>
  <c r="O44" i="3"/>
  <c r="P44" i="3"/>
  <c r="Q44" i="3"/>
  <c r="N45" i="3"/>
  <c r="O45" i="3"/>
  <c r="P45" i="3"/>
  <c r="Q45" i="3"/>
  <c r="N46" i="3"/>
  <c r="O46" i="3"/>
  <c r="P46" i="3"/>
  <c r="Q46" i="3"/>
  <c r="R18" i="3"/>
  <c r="R19" i="3" s="1"/>
  <c r="J6" i="3"/>
  <c r="J7" i="3" s="1"/>
  <c r="J8" i="3" s="1"/>
  <c r="J9" i="3" s="1"/>
  <c r="J10" i="3" s="1"/>
  <c r="W6" i="3"/>
  <c r="X6" i="3"/>
  <c r="W7" i="3"/>
  <c r="X7" i="3"/>
  <c r="W8" i="3"/>
  <c r="X8" i="3"/>
  <c r="W9" i="3"/>
  <c r="X9" i="3"/>
  <c r="W10" i="3"/>
  <c r="X10" i="3"/>
  <c r="W11" i="3"/>
  <c r="X11" i="3"/>
  <c r="W12" i="3"/>
  <c r="X12" i="3"/>
  <c r="W13" i="3"/>
  <c r="X13" i="3"/>
  <c r="W14" i="3"/>
  <c r="X14" i="3"/>
  <c r="W15" i="3"/>
  <c r="X15" i="3"/>
  <c r="W16" i="3"/>
  <c r="X16" i="3"/>
  <c r="W17" i="3"/>
  <c r="X17" i="3"/>
  <c r="W18" i="3"/>
  <c r="X18" i="3"/>
  <c r="W19" i="3"/>
  <c r="X19" i="3"/>
  <c r="W20" i="3"/>
  <c r="X20" i="3"/>
  <c r="W21" i="3"/>
  <c r="X21" i="3"/>
  <c r="X5" i="3"/>
  <c r="W5" i="3"/>
  <c r="B39" i="3"/>
  <c r="B40" i="3" s="1"/>
  <c r="B41" i="3" s="1"/>
  <c r="B42" i="3" s="1"/>
  <c r="B43" i="3" s="1"/>
  <c r="B44" i="3" s="1"/>
  <c r="B45" i="3" s="1"/>
  <c r="B46" i="3" s="1"/>
  <c r="B36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H4" i="3"/>
  <c r="G4" i="3"/>
  <c r="CH5" i="1"/>
  <c r="CH6" i="1"/>
  <c r="CH8" i="1"/>
  <c r="CH7" i="1"/>
  <c r="CH9" i="1"/>
  <c r="CH10" i="1"/>
  <c r="CH11" i="1"/>
  <c r="CH12" i="1"/>
  <c r="CH14" i="1"/>
  <c r="CH15" i="1"/>
  <c r="CH16" i="1"/>
  <c r="CH19" i="1"/>
  <c r="CH20" i="1"/>
  <c r="CH13" i="1"/>
  <c r="CH21" i="1"/>
  <c r="CH22" i="1"/>
  <c r="CH17" i="1"/>
  <c r="CH18" i="1"/>
  <c r="CH23" i="1"/>
  <c r="CH27" i="1"/>
  <c r="CH24" i="1"/>
  <c r="CH29" i="1"/>
  <c r="CH25" i="1"/>
  <c r="CH26" i="1"/>
  <c r="CH30" i="1"/>
  <c r="CH31" i="1"/>
  <c r="CH33" i="1"/>
  <c r="CH28" i="1"/>
  <c r="CH32" i="1"/>
  <c r="CH34" i="1"/>
  <c r="CH35" i="1"/>
  <c r="CH36" i="1"/>
  <c r="CH37" i="1"/>
  <c r="CH40" i="1"/>
  <c r="CH41" i="1"/>
  <c r="CH39" i="1"/>
  <c r="CH38" i="1"/>
  <c r="CH43" i="1"/>
  <c r="CH44" i="1"/>
  <c r="CH42" i="1"/>
  <c r="CH45" i="1"/>
  <c r="CH47" i="1"/>
  <c r="CH46" i="1"/>
  <c r="CH51" i="1"/>
  <c r="CH52" i="1"/>
  <c r="CH48" i="1"/>
  <c r="CH50" i="1"/>
  <c r="CH54" i="1"/>
  <c r="CH55" i="1"/>
  <c r="CH53" i="1"/>
  <c r="CH57" i="1"/>
  <c r="CH49" i="1"/>
  <c r="CH63" i="1"/>
  <c r="CH59" i="1"/>
  <c r="CH58" i="1"/>
  <c r="CH56" i="1"/>
  <c r="CH60" i="1"/>
  <c r="CH64" i="1"/>
  <c r="CH65" i="1"/>
  <c r="CH62" i="1"/>
  <c r="CH66" i="1"/>
  <c r="CH61" i="1"/>
  <c r="CH67" i="1"/>
  <c r="CH68" i="1"/>
  <c r="CH69" i="1"/>
  <c r="CH70" i="1"/>
  <c r="CH74" i="1"/>
  <c r="CH71" i="1"/>
  <c r="CH76" i="1"/>
  <c r="CH72" i="1"/>
  <c r="CH77" i="1"/>
  <c r="CH79" i="1"/>
  <c r="CH75" i="1"/>
  <c r="CH81" i="1"/>
  <c r="CH78" i="1"/>
  <c r="CH73" i="1"/>
  <c r="CH82" i="1"/>
  <c r="CH80" i="1"/>
  <c r="CH84" i="1"/>
  <c r="CH85" i="1"/>
  <c r="CH83" i="1"/>
  <c r="CH87" i="1"/>
  <c r="CH86" i="1"/>
  <c r="CH88" i="1"/>
  <c r="CH89" i="1"/>
  <c r="CH90" i="1"/>
  <c r="CH91" i="1"/>
  <c r="CH92" i="1"/>
  <c r="CH93" i="1"/>
  <c r="CH94" i="1"/>
  <c r="CH95" i="1"/>
  <c r="CH96" i="1"/>
  <c r="CH97" i="1"/>
  <c r="CH98" i="1"/>
  <c r="CH99" i="1"/>
  <c r="CH100" i="1"/>
  <c r="CH102" i="1"/>
  <c r="CH101" i="1"/>
  <c r="CH103" i="1"/>
  <c r="CH104" i="1"/>
  <c r="CH105" i="1"/>
  <c r="CH4" i="1"/>
  <c r="DR4" i="4" l="1"/>
  <c r="DR45" i="4" s="1"/>
  <c r="CP6" i="4"/>
  <c r="CP7" i="4"/>
  <c r="CP8" i="4"/>
  <c r="CP9" i="4"/>
  <c r="CP10" i="4"/>
  <c r="CP11" i="4"/>
  <c r="CP12" i="4"/>
  <c r="CP13" i="4"/>
  <c r="CP14" i="4"/>
  <c r="CP15" i="4"/>
  <c r="CP17" i="4"/>
  <c r="CP18" i="4"/>
  <c r="CP19" i="4"/>
  <c r="CP20" i="4"/>
  <c r="CP21" i="4"/>
  <c r="CP22" i="4"/>
  <c r="CP23" i="4"/>
  <c r="CP25" i="4"/>
  <c r="CP27" i="4"/>
  <c r="CP29" i="4"/>
  <c r="CP30" i="4"/>
  <c r="CP31" i="4"/>
  <c r="CP32" i="4"/>
  <c r="CP33" i="4"/>
  <c r="CP35" i="4"/>
  <c r="CP37" i="4"/>
  <c r="CP38" i="4"/>
  <c r="CP39" i="4"/>
  <c r="CP40" i="4"/>
  <c r="CP41" i="4"/>
  <c r="CP43" i="4"/>
  <c r="CP44" i="4"/>
  <c r="CP5" i="4"/>
  <c r="CO42" i="4"/>
  <c r="BH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" i="4"/>
  <c r="BG45" i="4"/>
  <c r="AD6" i="4"/>
  <c r="AE7" i="4"/>
  <c r="AE8" i="4"/>
  <c r="AE9" i="4"/>
  <c r="AE11" i="4"/>
  <c r="AE13" i="4"/>
  <c r="AE15" i="4"/>
  <c r="AE16" i="4"/>
  <c r="AE19" i="4"/>
  <c r="AE21" i="4"/>
  <c r="AE22" i="4"/>
  <c r="AE23" i="4"/>
  <c r="AE24" i="4"/>
  <c r="AE25" i="4"/>
  <c r="AE26" i="4"/>
  <c r="AE27" i="4"/>
  <c r="AE28" i="4"/>
  <c r="AE29" i="4"/>
  <c r="AE30" i="4"/>
  <c r="AE31" i="4"/>
  <c r="AE33" i="4"/>
  <c r="AE34" i="4"/>
  <c r="AE35" i="4"/>
  <c r="AE37" i="4"/>
  <c r="AE38" i="4"/>
  <c r="AE39" i="4"/>
  <c r="AE40" i="4"/>
  <c r="AE42" i="4"/>
  <c r="AE43" i="4"/>
  <c r="AE4" i="4"/>
  <c r="AD18" i="4"/>
  <c r="AE18" i="4" s="1"/>
  <c r="AD10" i="4"/>
  <c r="AD5" i="4"/>
  <c r="AE5" i="4" s="1"/>
  <c r="FI54" i="2"/>
  <c r="FI53" i="2"/>
  <c r="FI52" i="2"/>
  <c r="FI51" i="2"/>
  <c r="FI50" i="2"/>
  <c r="FI49" i="2"/>
  <c r="FI48" i="2"/>
  <c r="FI47" i="2"/>
  <c r="FI46" i="2"/>
  <c r="FI45" i="2"/>
  <c r="FI44" i="2"/>
  <c r="FI43" i="2"/>
  <c r="FI42" i="2"/>
  <c r="FI41" i="2"/>
  <c r="FI40" i="2"/>
  <c r="FI39" i="2"/>
  <c r="FI38" i="2"/>
  <c r="FI37" i="2"/>
  <c r="FI36" i="2"/>
  <c r="FI35" i="2"/>
  <c r="FI34" i="2"/>
  <c r="FI33" i="2"/>
  <c r="FI32" i="2"/>
  <c r="FI31" i="2"/>
  <c r="FI30" i="2"/>
  <c r="FI29" i="2"/>
  <c r="FI28" i="2"/>
  <c r="FI27" i="2"/>
  <c r="FI26" i="2"/>
  <c r="FI25" i="2"/>
  <c r="FI24" i="2"/>
  <c r="FI22" i="2"/>
  <c r="FI21" i="2"/>
  <c r="FI20" i="2"/>
  <c r="FI19" i="2"/>
  <c r="FI18" i="2"/>
  <c r="FI17" i="2"/>
  <c r="FI16" i="2"/>
  <c r="FI15" i="2"/>
  <c r="FI14" i="2"/>
  <c r="FI13" i="2"/>
  <c r="FI12" i="2"/>
  <c r="FI11" i="2"/>
  <c r="FI10" i="2"/>
  <c r="FI9" i="2"/>
  <c r="FI8" i="2"/>
  <c r="FI7" i="2"/>
  <c r="FI6" i="2"/>
  <c r="FI5" i="2"/>
  <c r="FI55" i="2"/>
  <c r="FH4" i="2"/>
  <c r="FH56" i="2" s="1"/>
  <c r="EE20" i="2"/>
  <c r="EE22" i="2"/>
  <c r="EF11" i="2"/>
  <c r="EF7" i="2"/>
  <c r="EF20" i="2"/>
  <c r="EF40" i="2"/>
  <c r="EF42" i="2"/>
  <c r="EF47" i="2"/>
  <c r="EF50" i="2"/>
  <c r="EF51" i="2"/>
  <c r="EF52" i="2"/>
  <c r="EF53" i="2"/>
  <c r="EF54" i="2"/>
  <c r="EF55" i="2"/>
  <c r="EE32" i="2"/>
  <c r="EE29" i="2"/>
  <c r="EE28" i="2"/>
  <c r="EE27" i="2"/>
  <c r="EE26" i="2"/>
  <c r="EE25" i="2"/>
  <c r="EE24" i="2"/>
  <c r="EE23" i="2"/>
  <c r="EE38" i="2"/>
  <c r="EE44" i="2"/>
  <c r="EF44" i="2" s="1"/>
  <c r="EE19" i="2"/>
  <c r="EF19" i="2" s="1"/>
  <c r="EE17" i="2"/>
  <c r="CA54" i="2"/>
  <c r="CB53" i="2"/>
  <c r="CB52" i="2"/>
  <c r="CB51" i="2"/>
  <c r="CB50" i="2"/>
  <c r="CB49" i="2"/>
  <c r="CB48" i="2"/>
  <c r="CB47" i="2"/>
  <c r="CB46" i="2"/>
  <c r="CB44" i="2"/>
  <c r="CB43" i="2"/>
  <c r="CB41" i="2"/>
  <c r="CB40" i="2"/>
  <c r="CB37" i="2"/>
  <c r="CB35" i="2"/>
  <c r="CB32" i="2"/>
  <c r="CB31" i="2"/>
  <c r="CB30" i="2"/>
  <c r="CB29" i="2"/>
  <c r="CB28" i="2"/>
  <c r="CB27" i="2"/>
  <c r="CB25" i="2"/>
  <c r="CB24" i="2"/>
  <c r="CB23" i="2"/>
  <c r="CB21" i="2"/>
  <c r="CB19" i="2"/>
  <c r="CB18" i="2"/>
  <c r="CB15" i="2"/>
  <c r="CB14" i="2"/>
  <c r="CB12" i="2"/>
  <c r="CB11" i="2"/>
  <c r="CB10" i="2"/>
  <c r="CB9" i="2"/>
  <c r="CB7" i="2"/>
  <c r="CB6" i="2"/>
  <c r="CB4" i="2"/>
  <c r="CA56" i="2"/>
  <c r="AX54" i="2"/>
  <c r="AX5" i="2"/>
  <c r="AD45" i="4" l="1"/>
  <c r="CO4" i="4" s="1"/>
  <c r="CO45" i="4" s="1"/>
  <c r="AE10" i="4"/>
  <c r="AX4" i="2" l="1"/>
  <c r="AX7" i="2"/>
  <c r="AX8" i="2"/>
  <c r="AX9" i="2"/>
  <c r="AX12" i="2"/>
  <c r="AX13" i="2"/>
  <c r="AX15" i="2"/>
  <c r="AX16" i="2"/>
  <c r="AX20" i="2"/>
  <c r="AX26" i="2"/>
  <c r="AX28" i="2"/>
  <c r="AX30" i="2"/>
  <c r="AX34" i="2"/>
  <c r="AX52" i="2"/>
  <c r="AY48" i="2"/>
  <c r="AY27" i="2"/>
  <c r="AY24" i="2"/>
  <c r="AY6" i="2"/>
  <c r="E84" i="12"/>
  <c r="R14" i="4"/>
  <c r="S14" i="4"/>
  <c r="W14" i="4"/>
  <c r="AA14" i="4"/>
  <c r="AB14" i="4"/>
  <c r="BK14" i="4"/>
  <c r="BK15" i="4"/>
  <c r="BJ15" i="4"/>
  <c r="BK16" i="4"/>
  <c r="BJ16" i="4"/>
  <c r="Y17" i="4"/>
  <c r="BK17" i="4"/>
  <c r="BJ18" i="4"/>
  <c r="BK18" i="4"/>
  <c r="BJ19" i="4"/>
  <c r="BK19" i="4"/>
  <c r="Z20" i="4"/>
  <c r="AA20" i="4"/>
  <c r="AC20" i="4"/>
  <c r="BK20" i="4"/>
  <c r="BJ21" i="4"/>
  <c r="BK21" i="4"/>
  <c r="BK22" i="4"/>
  <c r="BJ22" i="4"/>
  <c r="BK23" i="4"/>
  <c r="BJ23" i="4"/>
  <c r="BJ24" i="4"/>
  <c r="BK24" i="4"/>
  <c r="BJ25" i="4"/>
  <c r="BK25" i="4"/>
  <c r="BK26" i="4"/>
  <c r="BJ26" i="4"/>
  <c r="BK27" i="4"/>
  <c r="BJ27" i="4"/>
  <c r="BJ28" i="4"/>
  <c r="BK28" i="4"/>
  <c r="BK29" i="4"/>
  <c r="BJ29" i="4"/>
  <c r="BK30" i="4"/>
  <c r="BJ30" i="4"/>
  <c r="BJ31" i="4"/>
  <c r="BK31" i="4"/>
  <c r="G32" i="4"/>
  <c r="I32" i="4"/>
  <c r="L32" i="4"/>
  <c r="N32" i="4"/>
  <c r="O32" i="4"/>
  <c r="X32" i="4"/>
  <c r="Y32" i="4"/>
  <c r="Z32" i="4"/>
  <c r="AA32" i="4"/>
  <c r="AC32" i="4"/>
  <c r="BK32" i="4"/>
  <c r="BJ33" i="4"/>
  <c r="BK33" i="4"/>
  <c r="BJ34" i="4"/>
  <c r="BK34" i="4"/>
  <c r="BJ35" i="4"/>
  <c r="BK35" i="4"/>
  <c r="O36" i="4"/>
  <c r="U36" i="4"/>
  <c r="V36" i="4"/>
  <c r="Z36" i="4"/>
  <c r="AA36" i="4"/>
  <c r="AC36" i="4"/>
  <c r="BK36" i="4"/>
  <c r="BK37" i="4"/>
  <c r="BJ37" i="4"/>
  <c r="BJ38" i="4"/>
  <c r="BK38" i="4"/>
  <c r="BJ39" i="4"/>
  <c r="BK39" i="4"/>
  <c r="BK40" i="4"/>
  <c r="BJ40" i="4"/>
  <c r="AA41" i="4"/>
  <c r="BK41" i="4"/>
  <c r="BJ42" i="4"/>
  <c r="BK42" i="4"/>
  <c r="BJ43" i="4"/>
  <c r="BK43" i="4"/>
  <c r="G44" i="4"/>
  <c r="H44" i="4"/>
  <c r="I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AA44" i="4"/>
  <c r="AB44" i="4"/>
  <c r="AC44" i="4"/>
  <c r="BK44" i="4"/>
  <c r="DU6" i="4"/>
  <c r="DS6" i="4"/>
  <c r="DV6" i="4" s="1"/>
  <c r="DU7" i="4"/>
  <c r="DS7" i="4"/>
  <c r="DV7" i="4" s="1"/>
  <c r="DU8" i="4"/>
  <c r="DS8" i="4"/>
  <c r="DV8" i="4" s="1"/>
  <c r="DU9" i="4"/>
  <c r="DS9" i="4"/>
  <c r="DV9" i="4" s="1"/>
  <c r="DU10" i="4"/>
  <c r="DS10" i="4"/>
  <c r="DV10" i="4" s="1"/>
  <c r="DU11" i="4"/>
  <c r="DS11" i="4"/>
  <c r="DV11" i="4" s="1"/>
  <c r="DU12" i="4"/>
  <c r="DS12" i="4"/>
  <c r="DV12" i="4" s="1"/>
  <c r="DU13" i="4"/>
  <c r="DS13" i="4"/>
  <c r="DV13" i="4" s="1"/>
  <c r="DU14" i="4"/>
  <c r="DS14" i="4"/>
  <c r="DV14" i="4" s="1"/>
  <c r="DU15" i="4"/>
  <c r="DS15" i="4"/>
  <c r="DV15" i="4" s="1"/>
  <c r="BR16" i="4"/>
  <c r="DS16" i="4"/>
  <c r="DV16" i="4" s="1"/>
  <c r="DU17" i="4"/>
  <c r="DS17" i="4"/>
  <c r="DV17" i="4" s="1"/>
  <c r="DS18" i="4"/>
  <c r="DV18" i="4" s="1"/>
  <c r="DU18" i="4"/>
  <c r="DU19" i="4"/>
  <c r="DS19" i="4"/>
  <c r="DV19" i="4" s="1"/>
  <c r="DU20" i="4"/>
  <c r="DS20" i="4"/>
  <c r="DV20" i="4" s="1"/>
  <c r="DU21" i="4"/>
  <c r="DS21" i="4"/>
  <c r="DV21" i="4" s="1"/>
  <c r="DU22" i="4"/>
  <c r="DS22" i="4"/>
  <c r="DV22" i="4" s="1"/>
  <c r="DU23" i="4"/>
  <c r="DS23" i="4"/>
  <c r="DV23" i="4" s="1"/>
  <c r="CI24" i="4"/>
  <c r="DS24" i="4"/>
  <c r="DV24" i="4" s="1"/>
  <c r="DU25" i="4"/>
  <c r="DS25" i="4"/>
  <c r="DV25" i="4" s="1"/>
  <c r="CN26" i="4"/>
  <c r="CP26" i="4" s="1"/>
  <c r="DU26" i="4"/>
  <c r="DS26" i="4"/>
  <c r="DV26" i="4" s="1"/>
  <c r="DU27" i="4"/>
  <c r="DS27" i="4"/>
  <c r="DV27" i="4" s="1"/>
  <c r="CI28" i="4"/>
  <c r="CM28" i="4"/>
  <c r="DS28" i="4"/>
  <c r="DV28" i="4" s="1"/>
  <c r="DU29" i="4"/>
  <c r="DS29" i="4"/>
  <c r="DV29" i="4" s="1"/>
  <c r="DU30" i="4"/>
  <c r="DS30" i="4"/>
  <c r="DV30" i="4" s="1"/>
  <c r="DU31" i="4"/>
  <c r="DS31" i="4"/>
  <c r="DV31" i="4" s="1"/>
  <c r="DU32" i="4"/>
  <c r="DV32" i="4"/>
  <c r="DU33" i="4"/>
  <c r="DS33" i="4"/>
  <c r="DV33" i="4" s="1"/>
  <c r="BT34" i="4"/>
  <c r="BX34" i="4"/>
  <c r="CC34" i="4"/>
  <c r="CE34" i="4"/>
  <c r="CF34" i="4"/>
  <c r="CH34" i="4"/>
  <c r="CL34" i="4"/>
  <c r="CN34" i="4"/>
  <c r="DS34" i="4"/>
  <c r="DV34" i="4" s="1"/>
  <c r="DU35" i="4"/>
  <c r="DS35" i="4"/>
  <c r="DV35" i="4" s="1"/>
  <c r="BS36" i="4"/>
  <c r="BT36" i="4"/>
  <c r="CE36" i="4"/>
  <c r="CF36" i="4"/>
  <c r="CH36" i="4"/>
  <c r="CJ36" i="4"/>
  <c r="CK36" i="4"/>
  <c r="CL36" i="4"/>
  <c r="CN36" i="4"/>
  <c r="DS36" i="4"/>
  <c r="DV36" i="4" s="1"/>
  <c r="DU37" i="4"/>
  <c r="DS37" i="4"/>
  <c r="DV37" i="4" s="1"/>
  <c r="DU38" i="4"/>
  <c r="DS38" i="4"/>
  <c r="DV38" i="4" s="1"/>
  <c r="DU39" i="4"/>
  <c r="DS39" i="4"/>
  <c r="DV39" i="4" s="1"/>
  <c r="DU40" i="4"/>
  <c r="DS40" i="4"/>
  <c r="DV40" i="4" s="1"/>
  <c r="DU41" i="4"/>
  <c r="DS41" i="4"/>
  <c r="DV41" i="4" s="1"/>
  <c r="CN42" i="4"/>
  <c r="DS42" i="4"/>
  <c r="DV42" i="4" s="1"/>
  <c r="DU43" i="4"/>
  <c r="DS43" i="4"/>
  <c r="DV43" i="4"/>
  <c r="DU44" i="4"/>
  <c r="DS44" i="4"/>
  <c r="DV44" i="4" s="1"/>
  <c r="BE45" i="4"/>
  <c r="DP4" i="4" s="1"/>
  <c r="DP45" i="4" s="1"/>
  <c r="AC6" i="4"/>
  <c r="AB12" i="4"/>
  <c r="AB6" i="4"/>
  <c r="ED43" i="2"/>
  <c r="ED39" i="2"/>
  <c r="ED38" i="2"/>
  <c r="ED37" i="2"/>
  <c r="ED35" i="2"/>
  <c r="ED34" i="2"/>
  <c r="ED32" i="2"/>
  <c r="ED29" i="2"/>
  <c r="ED28" i="2"/>
  <c r="EF28" i="2" s="1"/>
  <c r="ED27" i="2"/>
  <c r="ED26" i="2"/>
  <c r="ED14" i="2"/>
  <c r="ED10" i="2"/>
  <c r="CP42" i="4" l="1"/>
  <c r="DU42" i="4" s="1"/>
  <c r="CP36" i="4"/>
  <c r="CP28" i="4"/>
  <c r="DU28" i="4" s="1"/>
  <c r="CP24" i="4"/>
  <c r="DU24" i="4" s="1"/>
  <c r="CP16" i="4"/>
  <c r="DU16" i="4" s="1"/>
  <c r="CP34" i="4"/>
  <c r="F84" i="12"/>
  <c r="AE41" i="4"/>
  <c r="BJ41" i="4" s="1"/>
  <c r="AE20" i="4"/>
  <c r="BJ20" i="4" s="1"/>
  <c r="AE14" i="4"/>
  <c r="AE44" i="4"/>
  <c r="BJ44" i="4" s="1"/>
  <c r="AE36" i="4"/>
  <c r="AE32" i="4"/>
  <c r="BJ32" i="4" s="1"/>
  <c r="AE17" i="4"/>
  <c r="BJ17" i="4" s="1"/>
  <c r="DU36" i="4"/>
  <c r="DU34" i="4"/>
  <c r="BJ36" i="4"/>
  <c r="BJ14" i="4"/>
  <c r="AX56" i="2"/>
  <c r="EE4" i="2" s="1"/>
  <c r="EE56" i="2" s="1"/>
  <c r="AB45" i="4"/>
  <c r="CM4" i="4" s="1"/>
  <c r="CM45" i="4" s="1"/>
  <c r="BZ20" i="2" l="1"/>
  <c r="BZ17" i="2"/>
  <c r="BY20" i="2"/>
  <c r="BY56" i="2" s="1"/>
  <c r="FF4" i="2" s="1"/>
  <c r="AU38" i="2"/>
  <c r="BZ56" i="2" l="1"/>
  <c r="FG4" i="2" s="1"/>
  <c r="AW54" i="2"/>
  <c r="AW32" i="2"/>
  <c r="AW20" i="2"/>
  <c r="AW17" i="2"/>
  <c r="AW53" i="2"/>
  <c r="AW49" i="2"/>
  <c r="AY49" i="2" s="1"/>
  <c r="AW47" i="2"/>
  <c r="AW41" i="2"/>
  <c r="AY41" i="2" s="1"/>
  <c r="AW40" i="2"/>
  <c r="AW38" i="2"/>
  <c r="AW37" i="2"/>
  <c r="AW35" i="2"/>
  <c r="AY35" i="2" s="1"/>
  <c r="AW31" i="2"/>
  <c r="AW26" i="2"/>
  <c r="AW21" i="2"/>
  <c r="AW18" i="2"/>
  <c r="AW16" i="2"/>
  <c r="AW13" i="2"/>
  <c r="AW9" i="2"/>
  <c r="AW8" i="2"/>
  <c r="AW7" i="2"/>
  <c r="AV54" i="2"/>
  <c r="AV44" i="2"/>
  <c r="AY44" i="2" s="1"/>
  <c r="AV43" i="2"/>
  <c r="AV42" i="2"/>
  <c r="AV40" i="2"/>
  <c r="AV39" i="2"/>
  <c r="AV38" i="2"/>
  <c r="AV37" i="2"/>
  <c r="AV22" i="2"/>
  <c r="AV20" i="2"/>
  <c r="AV17" i="2"/>
  <c r="AV16" i="2"/>
  <c r="AV15" i="2"/>
  <c r="AV13" i="2"/>
  <c r="AV10" i="2"/>
  <c r="AV9" i="2"/>
  <c r="AV8" i="2"/>
  <c r="AV5" i="2"/>
  <c r="AV56" i="2" s="1"/>
  <c r="EC4" i="2" s="1"/>
  <c r="AW56" i="2" l="1"/>
  <c r="ED4" i="2" s="1"/>
  <c r="EB10" i="2"/>
  <c r="FE10" i="2" l="1"/>
  <c r="J11" i="3" l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45" i="12"/>
  <c r="E43" i="12"/>
  <c r="E44" i="12"/>
  <c r="BI45" i="4"/>
  <c r="BF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J45" i="4"/>
  <c r="F45" i="4"/>
  <c r="E45" i="4"/>
  <c r="D45" i="4"/>
  <c r="C45" i="4"/>
  <c r="D56" i="2"/>
  <c r="CK4" i="2" s="1"/>
  <c r="CK56" i="2" s="1"/>
  <c r="F44" i="12" l="1"/>
  <c r="F46" i="12"/>
  <c r="F45" i="12"/>
  <c r="BK5" i="4" l="1"/>
  <c r="BK6" i="4"/>
  <c r="BK7" i="4"/>
  <c r="BK8" i="4"/>
  <c r="BK9" i="4"/>
  <c r="BK10" i="4"/>
  <c r="BK11" i="4"/>
  <c r="BK12" i="4"/>
  <c r="BK13" i="4"/>
  <c r="BK4" i="4" l="1"/>
  <c r="BK45" i="4" s="1"/>
  <c r="BH45" i="4"/>
  <c r="DS4" i="4" s="1"/>
  <c r="DS45" i="4" s="1"/>
  <c r="DQ4" i="4" l="1"/>
  <c r="DQ45" i="4" s="1"/>
  <c r="AC45" i="4" l="1"/>
  <c r="CN4" i="4" s="1"/>
  <c r="CN45" i="4" s="1"/>
  <c r="FF56" i="2"/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FL55" i="2"/>
  <c r="FL54" i="2"/>
  <c r="FL53" i="2"/>
  <c r="FL52" i="2"/>
  <c r="FL51" i="2"/>
  <c r="FL50" i="2"/>
  <c r="FL49" i="2"/>
  <c r="FL48" i="2"/>
  <c r="FL47" i="2"/>
  <c r="FL46" i="2"/>
  <c r="FL45" i="2"/>
  <c r="FL44" i="2"/>
  <c r="FL43" i="2"/>
  <c r="FL42" i="2"/>
  <c r="FL41" i="2"/>
  <c r="FL40" i="2"/>
  <c r="FL39" i="2"/>
  <c r="FL38" i="2"/>
  <c r="FL37" i="2"/>
  <c r="FL36" i="2"/>
  <c r="FL35" i="2"/>
  <c r="FL34" i="2"/>
  <c r="FL33" i="2"/>
  <c r="FL32" i="2"/>
  <c r="FL31" i="2"/>
  <c r="FL30" i="2"/>
  <c r="FL29" i="2"/>
  <c r="FL28" i="2"/>
  <c r="FL27" i="2"/>
  <c r="FL26" i="2"/>
  <c r="FL25" i="2"/>
  <c r="FL24" i="2"/>
  <c r="FL23" i="2"/>
  <c r="FL22" i="2"/>
  <c r="FL21" i="2"/>
  <c r="FL20" i="2"/>
  <c r="FL19" i="2"/>
  <c r="FL18" i="2"/>
  <c r="FL17" i="2"/>
  <c r="FL16" i="2"/>
  <c r="FL15" i="2"/>
  <c r="FL14" i="2"/>
  <c r="FL13" i="2"/>
  <c r="FL12" i="2"/>
  <c r="FL11" i="2"/>
  <c r="FL10" i="2"/>
  <c r="FL9" i="2"/>
  <c r="FL8" i="2"/>
  <c r="FL7" i="2"/>
  <c r="FL6" i="2"/>
  <c r="FL5" i="2"/>
  <c r="F54" i="12" l="1"/>
  <c r="F50" i="12"/>
  <c r="F48" i="12"/>
  <c r="Q45" i="4"/>
  <c r="M45" i="4"/>
  <c r="H45" i="4"/>
  <c r="F52" i="12" l="1"/>
  <c r="F57" i="12"/>
  <c r="F59" i="12"/>
  <c r="F61" i="12"/>
  <c r="F82" i="12"/>
  <c r="F80" i="12"/>
  <c r="F78" i="12"/>
  <c r="F56" i="12"/>
  <c r="F58" i="12"/>
  <c r="F62" i="12"/>
  <c r="F81" i="12"/>
  <c r="F79" i="12"/>
  <c r="F47" i="12"/>
  <c r="F49" i="12"/>
  <c r="F51" i="12"/>
  <c r="F53" i="12"/>
  <c r="F55" i="12"/>
  <c r="F60" i="12"/>
  <c r="F83" i="12"/>
  <c r="F43" i="12"/>
  <c r="F63" i="12"/>
  <c r="DN4" i="4"/>
  <c r="DN45" i="4" s="1"/>
  <c r="Z12" i="4"/>
  <c r="FE8" i="2"/>
  <c r="FE49" i="2"/>
  <c r="FE37" i="2"/>
  <c r="FE38" i="2"/>
  <c r="EB49" i="2"/>
  <c r="EB38" i="2"/>
  <c r="EB37" i="2"/>
  <c r="EB33" i="2"/>
  <c r="EB8" i="2"/>
  <c r="EF8" i="2" s="1"/>
  <c r="EB46" i="2"/>
  <c r="EB45" i="2"/>
  <c r="EB41" i="2"/>
  <c r="EB35" i="2"/>
  <c r="EB32" i="2"/>
  <c r="EB29" i="2"/>
  <c r="EB27" i="2"/>
  <c r="EB21" i="2"/>
  <c r="EB17" i="2"/>
  <c r="EB15" i="2"/>
  <c r="EB5" i="2"/>
  <c r="EA45" i="2"/>
  <c r="EA38" i="2"/>
  <c r="EA37" i="2"/>
  <c r="EA33" i="2"/>
  <c r="EF33" i="2" s="1"/>
  <c r="EA32" i="2"/>
  <c r="EA31" i="2"/>
  <c r="EA29" i="2"/>
  <c r="EA22" i="2"/>
  <c r="EA21" i="2"/>
  <c r="EA15" i="2"/>
  <c r="EA14" i="2"/>
  <c r="EA13" i="2"/>
  <c r="EF13" i="2" s="1"/>
  <c r="EA10" i="2"/>
  <c r="EA5" i="2"/>
  <c r="AU16" i="2"/>
  <c r="AU5" i="2"/>
  <c r="AT39" i="2"/>
  <c r="AU39" i="2"/>
  <c r="BX33" i="2"/>
  <c r="AT33" i="2"/>
  <c r="AU33" i="2"/>
  <c r="AT26" i="2"/>
  <c r="AU26" i="2"/>
  <c r="AU19" i="2"/>
  <c r="Z45" i="4" l="1"/>
  <c r="CK4" i="4" s="1"/>
  <c r="CK45" i="4" s="1"/>
  <c r="AA45" i="4"/>
  <c r="AT22" i="2"/>
  <c r="AU22" i="2"/>
  <c r="BX22" i="2"/>
  <c r="CB22" i="2" s="1"/>
  <c r="AT16" i="2"/>
  <c r="AT5" i="2"/>
  <c r="BX5" i="2"/>
  <c r="BW45" i="2"/>
  <c r="CB45" i="2" s="1"/>
  <c r="BW42" i="2"/>
  <c r="BW13" i="2"/>
  <c r="CB13" i="2" s="1"/>
  <c r="BW8" i="2"/>
  <c r="AU53" i="2"/>
  <c r="AU52" i="2"/>
  <c r="AU54" i="2"/>
  <c r="AU51" i="2"/>
  <c r="AY51" i="2" s="1"/>
  <c r="AU43" i="2"/>
  <c r="AU31" i="2"/>
  <c r="AU29" i="2"/>
  <c r="AU25" i="2"/>
  <c r="AU21" i="2"/>
  <c r="AY21" i="2" s="1"/>
  <c r="AU20" i="2"/>
  <c r="AU17" i="2"/>
  <c r="AU14" i="2"/>
  <c r="AU13" i="2"/>
  <c r="AU12" i="2"/>
  <c r="AU11" i="2"/>
  <c r="AU10" i="2"/>
  <c r="AU9" i="2"/>
  <c r="AU4" i="2"/>
  <c r="AT54" i="2"/>
  <c r="AT45" i="2"/>
  <c r="AT42" i="2"/>
  <c r="AT36" i="2"/>
  <c r="AT30" i="2"/>
  <c r="AT28" i="2"/>
  <c r="AT20" i="2"/>
  <c r="AT17" i="2"/>
  <c r="AT14" i="2"/>
  <c r="AT13" i="2"/>
  <c r="AT8" i="2"/>
  <c r="AT7" i="2"/>
  <c r="BW56" i="2" l="1"/>
  <c r="FD4" i="2" s="1"/>
  <c r="FD56" i="2" s="1"/>
  <c r="AT56" i="2"/>
  <c r="EA4" i="2" s="1"/>
  <c r="EA56" i="2" s="1"/>
  <c r="F46" i="3"/>
  <c r="I46" i="3" s="1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13" i="12"/>
  <c r="E14" i="12"/>
  <c r="E15" i="12"/>
  <c r="E16" i="12"/>
  <c r="E17" i="12"/>
  <c r="E18" i="12"/>
  <c r="E19" i="12"/>
  <c r="E20" i="12"/>
  <c r="E21" i="12"/>
  <c r="E22" i="12"/>
  <c r="G45" i="4"/>
  <c r="I45" i="4"/>
  <c r="U45" i="4"/>
  <c r="Y45" i="4" l="1"/>
  <c r="F31" i="12"/>
  <c r="F16" i="12"/>
  <c r="F18" i="12"/>
  <c r="F19" i="12"/>
  <c r="F39" i="12"/>
  <c r="F32" i="12"/>
  <c r="F29" i="12"/>
  <c r="F27" i="12"/>
  <c r="F25" i="12"/>
  <c r="F23" i="12"/>
  <c r="F22" i="12"/>
  <c r="F20" i="12"/>
  <c r="F36" i="12"/>
  <c r="F33" i="12"/>
  <c r="F41" i="12"/>
  <c r="F37" i="12"/>
  <c r="F34" i="12"/>
  <c r="F30" i="12"/>
  <c r="F28" i="12"/>
  <c r="F26" i="12"/>
  <c r="F24" i="12"/>
  <c r="F21" i="12"/>
  <c r="F40" i="12"/>
  <c r="F42" i="12"/>
  <c r="F38" i="12"/>
  <c r="F17" i="12"/>
  <c r="F35" i="12"/>
  <c r="F15" i="12" l="1"/>
  <c r="DO4" i="4" l="1"/>
  <c r="DO45" i="4" s="1"/>
  <c r="CL4" i="4"/>
  <c r="CL45" i="4" s="1"/>
  <c r="FC10" i="2"/>
  <c r="FC12" i="2"/>
  <c r="DZ12" i="2"/>
  <c r="EF12" i="2" s="1"/>
  <c r="DZ10" i="2"/>
  <c r="AS45" i="2" l="1"/>
  <c r="AY45" i="2" s="1"/>
  <c r="AS42" i="2"/>
  <c r="AS13" i="2"/>
  <c r="AY13" i="2" s="1"/>
  <c r="AS8" i="2"/>
  <c r="BX56" i="2" l="1"/>
  <c r="AU56" i="2"/>
  <c r="FE4" i="2" l="1"/>
  <c r="FE56" i="2" s="1"/>
  <c r="EB4" i="2"/>
  <c r="EB56" i="2" s="1"/>
  <c r="F76" i="12" l="1"/>
  <c r="F44" i="3"/>
  <c r="F45" i="3"/>
  <c r="I45" i="3" l="1"/>
  <c r="I44" i="3"/>
  <c r="CG22" i="2" l="1"/>
  <c r="DL4" i="4" l="1"/>
  <c r="DL45" i="4" s="1"/>
  <c r="X12" i="4"/>
  <c r="X45" i="4" s="1"/>
  <c r="DZ22" i="2"/>
  <c r="DZ18" i="2"/>
  <c r="DZ16" i="2"/>
  <c r="DZ14" i="2"/>
  <c r="DZ9" i="2"/>
  <c r="EF9" i="2" s="1"/>
  <c r="DZ27" i="2"/>
  <c r="DZ24" i="2"/>
  <c r="EF24" i="2" s="1"/>
  <c r="DZ39" i="2"/>
  <c r="DZ38" i="2"/>
  <c r="DZ37" i="2"/>
  <c r="DZ36" i="2"/>
  <c r="EF36" i="2" s="1"/>
  <c r="DZ34" i="2"/>
  <c r="EF34" i="2" s="1"/>
  <c r="DZ49" i="2"/>
  <c r="DY49" i="2"/>
  <c r="EF49" i="2" s="1"/>
  <c r="DY48" i="2"/>
  <c r="DY46" i="2"/>
  <c r="DY45" i="2"/>
  <c r="DY43" i="2"/>
  <c r="DY39" i="2"/>
  <c r="EF39" i="2" s="1"/>
  <c r="DY38" i="2"/>
  <c r="DY37" i="2"/>
  <c r="DY32" i="2"/>
  <c r="EF32" i="2" s="1"/>
  <c r="DY31" i="2"/>
  <c r="EF31" i="2" s="1"/>
  <c r="DY29" i="2"/>
  <c r="DY23" i="2"/>
  <c r="DY22" i="2"/>
  <c r="EF22" i="2" s="1"/>
  <c r="DY16" i="2"/>
  <c r="EF16" i="2" s="1"/>
  <c r="DY15" i="2"/>
  <c r="DY14" i="2"/>
  <c r="DY10" i="2"/>
  <c r="BU33" i="2"/>
  <c r="BU20" i="2"/>
  <c r="AS46" i="2"/>
  <c r="AY46" i="2" s="1"/>
  <c r="AS47" i="2"/>
  <c r="AY47" i="2" s="1"/>
  <c r="AS50" i="2"/>
  <c r="AY50" i="2" s="1"/>
  <c r="AS52" i="2"/>
  <c r="AY52" i="2" s="1"/>
  <c r="AS53" i="2"/>
  <c r="AY53" i="2" s="1"/>
  <c r="AS32" i="2"/>
  <c r="AS31" i="2"/>
  <c r="AS30" i="2"/>
  <c r="AY30" i="2" s="1"/>
  <c r="AS29" i="2"/>
  <c r="AY29" i="2" s="1"/>
  <c r="AS28" i="2"/>
  <c r="AS34" i="2"/>
  <c r="AS36" i="2"/>
  <c r="AS38" i="2"/>
  <c r="AS40" i="2"/>
  <c r="AS39" i="2"/>
  <c r="AS43" i="2"/>
  <c r="AS20" i="2"/>
  <c r="AS19" i="2"/>
  <c r="AS17" i="2"/>
  <c r="AS16" i="2"/>
  <c r="AS15" i="2"/>
  <c r="AS12" i="2"/>
  <c r="AY12" i="2" s="1"/>
  <c r="AS9" i="2"/>
  <c r="AS7" i="2"/>
  <c r="AR43" i="2"/>
  <c r="AR42" i="2"/>
  <c r="AR40" i="2"/>
  <c r="AR36" i="2"/>
  <c r="AR33" i="2"/>
  <c r="AR32" i="2"/>
  <c r="AR25" i="2"/>
  <c r="AY25" i="2" s="1"/>
  <c r="AR23" i="2"/>
  <c r="AY23" i="2" s="1"/>
  <c r="AR22" i="2"/>
  <c r="AY22" i="2" s="1"/>
  <c r="AR20" i="2"/>
  <c r="AR19" i="2"/>
  <c r="AR9" i="2"/>
  <c r="AR8" i="2"/>
  <c r="AR7" i="2"/>
  <c r="AR5" i="2"/>
  <c r="AR4" i="2"/>
  <c r="AY4" i="2" s="1"/>
  <c r="AY43" i="2" l="1"/>
  <c r="BU56" i="2"/>
  <c r="FB4" i="2" s="1"/>
  <c r="FB56" i="2" s="1"/>
  <c r="CI4" i="4"/>
  <c r="CI45" i="4" s="1"/>
  <c r="AR56" i="2"/>
  <c r="DY4" i="2" s="1"/>
  <c r="DY56" i="2" s="1"/>
  <c r="DM4" i="4" l="1"/>
  <c r="DM45" i="4" s="1"/>
  <c r="BV56" i="2"/>
  <c r="FC4" i="2" s="1"/>
  <c r="FC56" i="2" s="1"/>
  <c r="CJ4" i="4" l="1"/>
  <c r="CJ45" i="4" s="1"/>
  <c r="AS56" i="2"/>
  <c r="DZ4" i="2" s="1"/>
  <c r="DZ56" i="2" s="1"/>
  <c r="E5" i="12"/>
  <c r="E6" i="12"/>
  <c r="E7" i="12"/>
  <c r="E8" i="12"/>
  <c r="E9" i="12"/>
  <c r="E10" i="12"/>
  <c r="E11" i="12"/>
  <c r="E12" i="12"/>
  <c r="F69" i="12"/>
  <c r="F71" i="12"/>
  <c r="F72" i="12" l="1"/>
  <c r="F68" i="12"/>
  <c r="F66" i="12"/>
  <c r="F64" i="12"/>
  <c r="F67" i="12"/>
  <c r="F65" i="12"/>
  <c r="F77" i="12"/>
  <c r="F74" i="12"/>
  <c r="F70" i="12"/>
  <c r="F75" i="12"/>
  <c r="F73" i="12"/>
  <c r="DJ4" i="4"/>
  <c r="DJ45" i="4" s="1"/>
  <c r="W45" i="4"/>
  <c r="V12" i="4"/>
  <c r="V6" i="4"/>
  <c r="V45" i="4" l="1"/>
  <c r="CG4" i="4" s="1"/>
  <c r="CG45" i="4" s="1"/>
  <c r="EY38" i="2"/>
  <c r="DX15" i="2"/>
  <c r="EF15" i="2" s="1"/>
  <c r="BS56" i="2" l="1"/>
  <c r="EZ4" i="2" s="1"/>
  <c r="EZ56" i="2" s="1"/>
  <c r="AP56" i="2"/>
  <c r="DW4" i="2" s="1"/>
  <c r="DW56" i="2" s="1"/>
  <c r="W56" i="2"/>
  <c r="DD4" i="2" s="1"/>
  <c r="DD56" i="2" s="1"/>
  <c r="AO26" i="2" l="1"/>
  <c r="DI4" i="4" l="1"/>
  <c r="DI45" i="4" s="1"/>
  <c r="CF4" i="4"/>
  <c r="CF45" i="4" s="1"/>
  <c r="DV38" i="2"/>
  <c r="BR33" i="2"/>
  <c r="BR26" i="2"/>
  <c r="AO33" i="2"/>
  <c r="AO56" i="2" s="1"/>
  <c r="DV4" i="2" s="1"/>
  <c r="V56" i="2"/>
  <c r="DC4" i="2" s="1"/>
  <c r="DC56" i="2" s="1"/>
  <c r="AN26" i="2"/>
  <c r="DK4" i="4"/>
  <c r="DK45" i="4" s="1"/>
  <c r="CH4" i="4"/>
  <c r="CH45" i="4" s="1"/>
  <c r="BJ5" i="4"/>
  <c r="BJ7" i="4"/>
  <c r="BJ8" i="4"/>
  <c r="BJ9" i="4"/>
  <c r="BJ10" i="4"/>
  <c r="BJ11" i="4"/>
  <c r="BJ4" i="4"/>
  <c r="FN6" i="2"/>
  <c r="FN7" i="2"/>
  <c r="FN8" i="2"/>
  <c r="FN9" i="2"/>
  <c r="FN11" i="2"/>
  <c r="FN12" i="2"/>
  <c r="FN13" i="2"/>
  <c r="FN14" i="2"/>
  <c r="FN16" i="2"/>
  <c r="FN17" i="2"/>
  <c r="FN18" i="2"/>
  <c r="FN19" i="2"/>
  <c r="FN20" i="2"/>
  <c r="FN22" i="2"/>
  <c r="FN24" i="2"/>
  <c r="FN25" i="2"/>
  <c r="FN26" i="2"/>
  <c r="FN27" i="2"/>
  <c r="FN28" i="2"/>
  <c r="FN29" i="2"/>
  <c r="FN30" i="2"/>
  <c r="FN31" i="2"/>
  <c r="FN32" i="2"/>
  <c r="FN33" i="2"/>
  <c r="FN34" i="2"/>
  <c r="FN35" i="2"/>
  <c r="FN36" i="2"/>
  <c r="FN39" i="2"/>
  <c r="FN40" i="2"/>
  <c r="FN41" i="2"/>
  <c r="FN42" i="2"/>
  <c r="FN44" i="2"/>
  <c r="FN45" i="2"/>
  <c r="FN47" i="2"/>
  <c r="FN48" i="2"/>
  <c r="FN49" i="2"/>
  <c r="FN50" i="2"/>
  <c r="FN52" i="2"/>
  <c r="FN53" i="2"/>
  <c r="FN54" i="2"/>
  <c r="FM7" i="2"/>
  <c r="FM9" i="2"/>
  <c r="FM11" i="2"/>
  <c r="FM12" i="2"/>
  <c r="FM16" i="2"/>
  <c r="FM31" i="2"/>
  <c r="FM32" i="2"/>
  <c r="FM33" i="2"/>
  <c r="FM36" i="2"/>
  <c r="FM39" i="2"/>
  <c r="FM40" i="2"/>
  <c r="FM42" i="2"/>
  <c r="FM44" i="2"/>
  <c r="FM47" i="2"/>
  <c r="FM50" i="2"/>
  <c r="FM52" i="2"/>
  <c r="FM53" i="2"/>
  <c r="FM55" i="2"/>
  <c r="CG4" i="2"/>
  <c r="CG6" i="2"/>
  <c r="CG9" i="2"/>
  <c r="CG10" i="2"/>
  <c r="CG11" i="2"/>
  <c r="CG13" i="2"/>
  <c r="CG14" i="2"/>
  <c r="CG15" i="2"/>
  <c r="CG17" i="2"/>
  <c r="CG18" i="2"/>
  <c r="CG19" i="2"/>
  <c r="CG21" i="2"/>
  <c r="CG23" i="2"/>
  <c r="CG24" i="2"/>
  <c r="CG25" i="2"/>
  <c r="CG27" i="2"/>
  <c r="CG28" i="2"/>
  <c r="CG29" i="2"/>
  <c r="CG30" i="2"/>
  <c r="CG31" i="2"/>
  <c r="CG32" i="2"/>
  <c r="CG35" i="2"/>
  <c r="CG37" i="2"/>
  <c r="CG38" i="2"/>
  <c r="CG40" i="2"/>
  <c r="CG41" i="2"/>
  <c r="CG43" i="2"/>
  <c r="CG44" i="2"/>
  <c r="CG45" i="2"/>
  <c r="CG46" i="2"/>
  <c r="CG47" i="2"/>
  <c r="CG48" i="2"/>
  <c r="CG49" i="2"/>
  <c r="CG50" i="2"/>
  <c r="CG51" i="2"/>
  <c r="CG52" i="2"/>
  <c r="CG53" i="2"/>
  <c r="CG54" i="2"/>
  <c r="BT56" i="2"/>
  <c r="FA4" i="2" s="1"/>
  <c r="FA56" i="2" s="1"/>
  <c r="AQ56" i="2"/>
  <c r="DX4" i="2" s="1"/>
  <c r="DX56" i="2" s="1"/>
  <c r="U56" i="2"/>
  <c r="DB4" i="2" s="1"/>
  <c r="DB56" i="2" s="1"/>
  <c r="B53" i="3"/>
  <c r="E4" i="12"/>
  <c r="DU26" i="2"/>
  <c r="EF26" i="2" s="1"/>
  <c r="DH4" i="4"/>
  <c r="DH45" i="4" s="1"/>
  <c r="T6" i="4"/>
  <c r="T45" i="4" s="1"/>
  <c r="FN15" i="2"/>
  <c r="DU43" i="2"/>
  <c r="DU41" i="2"/>
  <c r="EF41" i="2" s="1"/>
  <c r="DU38" i="2"/>
  <c r="DU37" i="2"/>
  <c r="DU29" i="2"/>
  <c r="EF29" i="2" s="1"/>
  <c r="DU27" i="2"/>
  <c r="DU25" i="2"/>
  <c r="EF25" i="2" s="1"/>
  <c r="DU23" i="2"/>
  <c r="DU21" i="2"/>
  <c r="DU18" i="2"/>
  <c r="EF18" i="2" s="1"/>
  <c r="DU17" i="2"/>
  <c r="EF17" i="2" s="1"/>
  <c r="DU6" i="2"/>
  <c r="EF6" i="2" s="1"/>
  <c r="CG7" i="2"/>
  <c r="BQ56" i="2"/>
  <c r="EX4" i="2" s="1"/>
  <c r="EX56" i="2" s="1"/>
  <c r="AN42" i="2"/>
  <c r="AN40" i="2"/>
  <c r="AY40" i="2" s="1"/>
  <c r="AN37" i="2"/>
  <c r="AY37" i="2" s="1"/>
  <c r="AN34" i="2"/>
  <c r="AN31" i="2"/>
  <c r="AY31" i="2" s="1"/>
  <c r="AN28" i="2"/>
  <c r="AN19" i="2"/>
  <c r="AY19" i="2" s="1"/>
  <c r="AN20" i="2"/>
  <c r="AN18" i="2"/>
  <c r="AY18" i="2" s="1"/>
  <c r="AN17" i="2"/>
  <c r="AN15" i="2"/>
  <c r="AY15" i="2" s="1"/>
  <c r="AN14" i="2"/>
  <c r="AY14" i="2" s="1"/>
  <c r="AN11" i="2"/>
  <c r="AN10" i="2"/>
  <c r="AY10" i="2" s="1"/>
  <c r="AN9" i="2"/>
  <c r="AN8" i="2"/>
  <c r="AN7" i="2"/>
  <c r="AY7" i="2" s="1"/>
  <c r="CE54" i="2"/>
  <c r="DN38" i="2"/>
  <c r="DI21" i="2"/>
  <c r="EF21" i="2" s="1"/>
  <c r="O12" i="4"/>
  <c r="O45" i="4" s="1"/>
  <c r="AM20" i="2"/>
  <c r="BP20" i="2"/>
  <c r="AM42" i="2"/>
  <c r="BP42" i="2"/>
  <c r="CB42" i="2" s="1"/>
  <c r="BP39" i="2"/>
  <c r="AM39" i="2"/>
  <c r="DG4" i="4"/>
  <c r="DG45" i="4" s="1"/>
  <c r="S45" i="4"/>
  <c r="FN55" i="2"/>
  <c r="T56" i="2"/>
  <c r="DA4" i="2" s="1"/>
  <c r="DA56" i="2" s="1"/>
  <c r="AK9" i="2"/>
  <c r="AY9" i="2" s="1"/>
  <c r="BN4" i="4"/>
  <c r="BN45" i="4" s="1"/>
  <c r="BO4" i="4"/>
  <c r="BO45" i="4" s="1"/>
  <c r="BP4" i="4"/>
  <c r="BP45" i="4" s="1"/>
  <c r="BQ4" i="4"/>
  <c r="BQ45" i="4" s="1"/>
  <c r="BS4" i="4"/>
  <c r="BS45" i="4" s="1"/>
  <c r="BU4" i="4"/>
  <c r="BU45" i="4" s="1"/>
  <c r="BX4" i="4"/>
  <c r="BX45" i="4" s="1"/>
  <c r="CB4" i="4"/>
  <c r="CB45" i="4" s="1"/>
  <c r="CQ4" i="4"/>
  <c r="CQ45" i="4" s="1"/>
  <c r="CR4" i="4"/>
  <c r="CR45" i="4" s="1"/>
  <c r="CS4" i="4"/>
  <c r="CS45" i="4" s="1"/>
  <c r="CT4" i="4"/>
  <c r="CT45" i="4" s="1"/>
  <c r="CU4" i="4"/>
  <c r="CU45" i="4" s="1"/>
  <c r="CV4" i="4"/>
  <c r="CV45" i="4" s="1"/>
  <c r="CW4" i="4"/>
  <c r="CW45" i="4" s="1"/>
  <c r="CX4" i="4"/>
  <c r="CX45" i="4" s="1"/>
  <c r="CY4" i="4"/>
  <c r="CY45" i="4" s="1"/>
  <c r="DA4" i="4"/>
  <c r="DA45" i="4" s="1"/>
  <c r="DB4" i="4"/>
  <c r="DB45" i="4" s="1"/>
  <c r="DC4" i="4"/>
  <c r="DC45" i="4" s="1"/>
  <c r="DD4" i="4"/>
  <c r="DD45" i="4" s="1"/>
  <c r="DE4" i="4"/>
  <c r="DE45" i="4" s="1"/>
  <c r="DF4" i="4"/>
  <c r="DF45" i="4" s="1"/>
  <c r="DT4" i="4"/>
  <c r="DT45" i="4" s="1"/>
  <c r="EV43" i="2"/>
  <c r="DS43" i="2"/>
  <c r="EF43" i="2" s="1"/>
  <c r="DS30" i="2"/>
  <c r="EF30" i="2" s="1"/>
  <c r="AL39" i="2"/>
  <c r="AL28" i="2"/>
  <c r="AY28" i="2" s="1"/>
  <c r="AL20" i="2"/>
  <c r="R45" i="4"/>
  <c r="BO56" i="2"/>
  <c r="EV4" i="2" s="1"/>
  <c r="R3" i="7"/>
  <c r="H4" i="7"/>
  <c r="N4" i="7" s="1"/>
  <c r="L4" i="7"/>
  <c r="O4" i="7" s="1"/>
  <c r="H5" i="7"/>
  <c r="N5" i="7" s="1"/>
  <c r="L5" i="7"/>
  <c r="O5" i="7" s="1"/>
  <c r="W5" i="7"/>
  <c r="AC5" i="7" s="1"/>
  <c r="AA5" i="7"/>
  <c r="AD5" i="7" s="1"/>
  <c r="H6" i="7"/>
  <c r="N6" i="7" s="1"/>
  <c r="L6" i="7"/>
  <c r="O6" i="7" s="1"/>
  <c r="W6" i="7"/>
  <c r="AC6" i="7" s="1"/>
  <c r="AA6" i="7"/>
  <c r="AD6" i="7" s="1"/>
  <c r="H7" i="7"/>
  <c r="N7" i="7" s="1"/>
  <c r="L7" i="7"/>
  <c r="O7" i="7" s="1"/>
  <c r="W7" i="7"/>
  <c r="AC7" i="7" s="1"/>
  <c r="AA7" i="7"/>
  <c r="AD7" i="7" s="1"/>
  <c r="H8" i="7"/>
  <c r="N8" i="7" s="1"/>
  <c r="L8" i="7"/>
  <c r="O8" i="7" s="1"/>
  <c r="W8" i="7"/>
  <c r="AC8" i="7" s="1"/>
  <c r="AA8" i="7"/>
  <c r="AD8" i="7" s="1"/>
  <c r="H9" i="7"/>
  <c r="N9" i="7" s="1"/>
  <c r="L9" i="7"/>
  <c r="O9" i="7" s="1"/>
  <c r="W9" i="7"/>
  <c r="AC9" i="7" s="1"/>
  <c r="AA9" i="7"/>
  <c r="AD9" i="7" s="1"/>
  <c r="H10" i="7"/>
  <c r="N10" i="7" s="1"/>
  <c r="L10" i="7"/>
  <c r="O10" i="7" s="1"/>
  <c r="W10" i="7"/>
  <c r="AC10" i="7" s="1"/>
  <c r="AA10" i="7"/>
  <c r="AD10" i="7" s="1"/>
  <c r="H11" i="7"/>
  <c r="N11" i="7" s="1"/>
  <c r="L11" i="7"/>
  <c r="O11" i="7" s="1"/>
  <c r="W11" i="7"/>
  <c r="AC11" i="7" s="1"/>
  <c r="AA11" i="7"/>
  <c r="AD11" i="7" s="1"/>
  <c r="H12" i="7"/>
  <c r="N12" i="7" s="1"/>
  <c r="L12" i="7"/>
  <c r="O12" i="7" s="1"/>
  <c r="W12" i="7"/>
  <c r="AC12" i="7" s="1"/>
  <c r="AA12" i="7"/>
  <c r="AD12" i="7" s="1"/>
  <c r="H13" i="7"/>
  <c r="N13" i="7" s="1"/>
  <c r="L13" i="7"/>
  <c r="O13" i="7" s="1"/>
  <c r="W13" i="7"/>
  <c r="AC13" i="7" s="1"/>
  <c r="AA13" i="7"/>
  <c r="AD13" i="7" s="1"/>
  <c r="H14" i="7"/>
  <c r="N14" i="7" s="1"/>
  <c r="L14" i="7"/>
  <c r="O14" i="7" s="1"/>
  <c r="W14" i="7"/>
  <c r="AC14" i="7" s="1"/>
  <c r="AA14" i="7"/>
  <c r="AD14" i="7" s="1"/>
  <c r="H15" i="7"/>
  <c r="N15" i="7" s="1"/>
  <c r="L15" i="7"/>
  <c r="O15" i="7" s="1"/>
  <c r="W15" i="7"/>
  <c r="AC15" i="7" s="1"/>
  <c r="AA15" i="7"/>
  <c r="AD15" i="7" s="1"/>
  <c r="H16" i="7"/>
  <c r="N16" i="7" s="1"/>
  <c r="L16" i="7"/>
  <c r="O16" i="7" s="1"/>
  <c r="W16" i="7"/>
  <c r="AC16" i="7" s="1"/>
  <c r="AA16" i="7"/>
  <c r="AD16" i="7" s="1"/>
  <c r="H17" i="7"/>
  <c r="N17" i="7" s="1"/>
  <c r="L17" i="7"/>
  <c r="O17" i="7" s="1"/>
  <c r="W17" i="7"/>
  <c r="AC17" i="7" s="1"/>
  <c r="AA17" i="7"/>
  <c r="AD17" i="7" s="1"/>
  <c r="H18" i="7"/>
  <c r="N18" i="7" s="1"/>
  <c r="L18" i="7"/>
  <c r="O18" i="7" s="1"/>
  <c r="W18" i="7"/>
  <c r="AC18" i="7" s="1"/>
  <c r="AA18" i="7"/>
  <c r="AD18" i="7" s="1"/>
  <c r="H19" i="7"/>
  <c r="N19" i="7" s="1"/>
  <c r="L19" i="7"/>
  <c r="O19" i="7" s="1"/>
  <c r="W19" i="7"/>
  <c r="AC19" i="7" s="1"/>
  <c r="AA19" i="7"/>
  <c r="AD19" i="7" s="1"/>
  <c r="H20" i="7"/>
  <c r="N20" i="7" s="1"/>
  <c r="L20" i="7"/>
  <c r="O20" i="7" s="1"/>
  <c r="W20" i="7"/>
  <c r="AC20" i="7" s="1"/>
  <c r="AA20" i="7"/>
  <c r="AD20" i="7" s="1"/>
  <c r="H21" i="7"/>
  <c r="N21" i="7" s="1"/>
  <c r="L21" i="7"/>
  <c r="O21" i="7" s="1"/>
  <c r="W21" i="7"/>
  <c r="AC21" i="7" s="1"/>
  <c r="AA21" i="7"/>
  <c r="AD21" i="7" s="1"/>
  <c r="H22" i="7"/>
  <c r="N22" i="7" s="1"/>
  <c r="L22" i="7"/>
  <c r="O22" i="7" s="1"/>
  <c r="W22" i="7"/>
  <c r="AC22" i="7" s="1"/>
  <c r="AA22" i="7"/>
  <c r="AD22" i="7" s="1"/>
  <c r="H23" i="7"/>
  <c r="N23" i="7" s="1"/>
  <c r="L23" i="7"/>
  <c r="O23" i="7" s="1"/>
  <c r="W23" i="7"/>
  <c r="AC23" i="7" s="1"/>
  <c r="AA23" i="7"/>
  <c r="AD23" i="7" s="1"/>
  <c r="H24" i="7"/>
  <c r="N24" i="7" s="1"/>
  <c r="L24" i="7"/>
  <c r="O24" i="7" s="1"/>
  <c r="W24" i="7"/>
  <c r="AC24" i="7" s="1"/>
  <c r="AA24" i="7"/>
  <c r="AD24" i="7" s="1"/>
  <c r="H25" i="7"/>
  <c r="N25" i="7" s="1"/>
  <c r="L25" i="7"/>
  <c r="O25" i="7" s="1"/>
  <c r="W25" i="7"/>
  <c r="AC25" i="7" s="1"/>
  <c r="AA25" i="7"/>
  <c r="AD25" i="7" s="1"/>
  <c r="H26" i="7"/>
  <c r="N26" i="7" s="1"/>
  <c r="L26" i="7"/>
  <c r="O26" i="7" s="1"/>
  <c r="W26" i="7"/>
  <c r="AC26" i="7" s="1"/>
  <c r="AA26" i="7"/>
  <c r="AD26" i="7" s="1"/>
  <c r="H27" i="7"/>
  <c r="N27" i="7" s="1"/>
  <c r="L27" i="7"/>
  <c r="O27" i="7" s="1"/>
  <c r="W27" i="7"/>
  <c r="AC27" i="7" s="1"/>
  <c r="AA27" i="7"/>
  <c r="AD27" i="7"/>
  <c r="H28" i="7"/>
  <c r="N28" i="7" s="1"/>
  <c r="L28" i="7"/>
  <c r="O28" i="7" s="1"/>
  <c r="W28" i="7"/>
  <c r="AC28" i="7" s="1"/>
  <c r="AA28" i="7"/>
  <c r="AD28" i="7" s="1"/>
  <c r="H29" i="7"/>
  <c r="N29" i="7" s="1"/>
  <c r="L29" i="7"/>
  <c r="O29" i="7" s="1"/>
  <c r="C34" i="7"/>
  <c r="D34" i="7"/>
  <c r="E34" i="7"/>
  <c r="T4" i="7" s="1"/>
  <c r="T34" i="7" s="1"/>
  <c r="F34" i="7"/>
  <c r="U4" i="7" s="1"/>
  <c r="U34" i="7" s="1"/>
  <c r="G34" i="7"/>
  <c r="V4" i="7" s="1"/>
  <c r="V34" i="7" s="1"/>
  <c r="I34" i="7"/>
  <c r="X4" i="7" s="1"/>
  <c r="X34" i="7" s="1"/>
  <c r="J34" i="7"/>
  <c r="Y4" i="7" s="1"/>
  <c r="Y34" i="7" s="1"/>
  <c r="K34" i="7"/>
  <c r="Z4" i="7" s="1"/>
  <c r="Z34" i="7" s="1"/>
  <c r="M34" i="7"/>
  <c r="AB4" i="7" s="1"/>
  <c r="AB34" i="7" s="1"/>
  <c r="P34" i="7"/>
  <c r="AE4" i="7" s="1"/>
  <c r="AE34" i="7" s="1"/>
  <c r="Q34" i="7"/>
  <c r="AF4" i="7" s="1"/>
  <c r="AF34" i="7" s="1"/>
  <c r="BL3" i="4"/>
  <c r="BZ4" i="4"/>
  <c r="BZ45" i="4" s="1"/>
  <c r="CZ4" i="4"/>
  <c r="CZ45" i="4" s="1"/>
  <c r="N6" i="4"/>
  <c r="AE6" i="4" s="1"/>
  <c r="K12" i="4"/>
  <c r="L12" i="4"/>
  <c r="L45" i="4" s="1"/>
  <c r="BW4" i="4" s="1"/>
  <c r="BW45" i="4" s="1"/>
  <c r="N12" i="4"/>
  <c r="P12" i="4"/>
  <c r="P45" i="4" s="1"/>
  <c r="BT4" i="4"/>
  <c r="BT45" i="4" s="1"/>
  <c r="F4" i="3"/>
  <c r="F5" i="3"/>
  <c r="V5" i="3"/>
  <c r="F6" i="3"/>
  <c r="R6" i="3"/>
  <c r="R7" i="3" s="1"/>
  <c r="R8" i="3" s="1"/>
  <c r="R9" i="3" s="1"/>
  <c r="R10" i="3" s="1"/>
  <c r="R11" i="3" s="1"/>
  <c r="R12" i="3" s="1"/>
  <c r="R13" i="3" s="1"/>
  <c r="R14" i="3" s="1"/>
  <c r="R15" i="3" s="1"/>
  <c r="R16" i="3" s="1"/>
  <c r="R17" i="3" s="1"/>
  <c r="V6" i="3"/>
  <c r="F7" i="3"/>
  <c r="V7" i="3"/>
  <c r="F8" i="3"/>
  <c r="V8" i="3"/>
  <c r="F9" i="3"/>
  <c r="V9" i="3"/>
  <c r="F10" i="3"/>
  <c r="V10" i="3"/>
  <c r="F11" i="3"/>
  <c r="V11" i="3"/>
  <c r="F12" i="3"/>
  <c r="V12" i="3"/>
  <c r="F13" i="3"/>
  <c r="V13" i="3"/>
  <c r="F14" i="3"/>
  <c r="V14" i="3"/>
  <c r="F15" i="3"/>
  <c r="V15" i="3"/>
  <c r="F16" i="3"/>
  <c r="V16" i="3"/>
  <c r="F17" i="3"/>
  <c r="V17" i="3"/>
  <c r="F18" i="3"/>
  <c r="V18" i="3"/>
  <c r="F19" i="3"/>
  <c r="V19" i="3"/>
  <c r="F20" i="3"/>
  <c r="V20" i="3"/>
  <c r="F21" i="3"/>
  <c r="V21" i="3"/>
  <c r="F22" i="3"/>
  <c r="F23" i="3"/>
  <c r="I23" i="3" s="1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CE4" i="2"/>
  <c r="AF5" i="2"/>
  <c r="AY5" i="2" s="1"/>
  <c r="BI5" i="2"/>
  <c r="CB5" i="2" s="1"/>
  <c r="CE5" i="2"/>
  <c r="CG12" i="2"/>
  <c r="DJ5" i="2"/>
  <c r="EF5" i="2" s="1"/>
  <c r="EM5" i="2"/>
  <c r="CE6" i="2"/>
  <c r="CE7" i="2"/>
  <c r="AI8" i="2"/>
  <c r="BL8" i="2"/>
  <c r="CE8" i="2"/>
  <c r="CE9" i="2"/>
  <c r="CE10" i="2"/>
  <c r="DJ10" i="2"/>
  <c r="DK10" i="2"/>
  <c r="EN10" i="2"/>
  <c r="AC11" i="2"/>
  <c r="CE11" i="2"/>
  <c r="CE12" i="2"/>
  <c r="CE13" i="2"/>
  <c r="CE14" i="2"/>
  <c r="DK14" i="2"/>
  <c r="EF14" i="2" s="1"/>
  <c r="CE15" i="2"/>
  <c r="AI16" i="2"/>
  <c r="AK16" i="2"/>
  <c r="BL16" i="2"/>
  <c r="CB16" i="2" s="1"/>
  <c r="CE16" i="2"/>
  <c r="CE17" i="2"/>
  <c r="CE18" i="2"/>
  <c r="CE19" i="2"/>
  <c r="AD20" i="2"/>
  <c r="AE20" i="2"/>
  <c r="AG20" i="2"/>
  <c r="AI20" i="2"/>
  <c r="BH20" i="2"/>
  <c r="BJ20" i="2"/>
  <c r="BJ56" i="2" s="1"/>
  <c r="EQ4" i="2" s="1"/>
  <c r="EQ56" i="2" s="1"/>
  <c r="BL20" i="2"/>
  <c r="CE20" i="2"/>
  <c r="CE21" i="2"/>
  <c r="EL21" i="2"/>
  <c r="CE22" i="2"/>
  <c r="CE23" i="2"/>
  <c r="DL23" i="2"/>
  <c r="EO23" i="2"/>
  <c r="CE24" i="2"/>
  <c r="CE25" i="2"/>
  <c r="AE26" i="2"/>
  <c r="BH26" i="2"/>
  <c r="CB26" i="2" s="1"/>
  <c r="CE26" i="2"/>
  <c r="CE27" i="2"/>
  <c r="DJ27" i="2"/>
  <c r="EF27" i="2" s="1"/>
  <c r="CE28" i="2"/>
  <c r="CE29" i="2"/>
  <c r="CE30" i="2"/>
  <c r="CE31" i="2"/>
  <c r="AC32" i="2"/>
  <c r="AY32" i="2" s="1"/>
  <c r="CE32" i="2"/>
  <c r="AC33" i="2"/>
  <c r="BF33" i="2"/>
  <c r="CE33" i="2"/>
  <c r="AE34" i="2"/>
  <c r="BL34" i="2"/>
  <c r="CB34" i="2" s="1"/>
  <c r="CE34" i="2"/>
  <c r="CE35" i="2"/>
  <c r="DJ35" i="2"/>
  <c r="DM35" i="2"/>
  <c r="AE36" i="2"/>
  <c r="AF36" i="2"/>
  <c r="BI36" i="2"/>
  <c r="CB36" i="2" s="1"/>
  <c r="CE36" i="2"/>
  <c r="CE37" i="2"/>
  <c r="DP37" i="2"/>
  <c r="EF37" i="2" s="1"/>
  <c r="ES37" i="2"/>
  <c r="AG38" i="2"/>
  <c r="CE38" i="2"/>
  <c r="FN38" i="2"/>
  <c r="AD39" i="2"/>
  <c r="AE39" i="2"/>
  <c r="AI39" i="2"/>
  <c r="BH39" i="2"/>
  <c r="CB39" i="2" s="1"/>
  <c r="BL39" i="2"/>
  <c r="CE39" i="2"/>
  <c r="CE40" i="2"/>
  <c r="CE41" i="2"/>
  <c r="CE42" i="2"/>
  <c r="CE43" i="2"/>
  <c r="CE44" i="2"/>
  <c r="CE45" i="2"/>
  <c r="DK45" i="2"/>
  <c r="DN45" i="2"/>
  <c r="CE46" i="2"/>
  <c r="DI46" i="2"/>
  <c r="EF46" i="2" s="1"/>
  <c r="EL46" i="2"/>
  <c r="CE47" i="2"/>
  <c r="CE48" i="2"/>
  <c r="DJ48" i="2"/>
  <c r="EF48" i="2" s="1"/>
  <c r="CE49" i="2"/>
  <c r="CE50" i="2"/>
  <c r="CE51" i="2"/>
  <c r="CE52" i="2"/>
  <c r="CE53" i="2"/>
  <c r="E56" i="2"/>
  <c r="CL4" i="2" s="1"/>
  <c r="CL56" i="2" s="1"/>
  <c r="F56" i="2"/>
  <c r="CM4" i="2" s="1"/>
  <c r="CM56" i="2" s="1"/>
  <c r="G56" i="2"/>
  <c r="CN4" i="2" s="1"/>
  <c r="CN56" i="2" s="1"/>
  <c r="H56" i="2"/>
  <c r="CO4" i="2" s="1"/>
  <c r="CO56" i="2" s="1"/>
  <c r="I56" i="2"/>
  <c r="CP4" i="2" s="1"/>
  <c r="CP56" i="2" s="1"/>
  <c r="J56" i="2"/>
  <c r="CQ4" i="2" s="1"/>
  <c r="CQ56" i="2" s="1"/>
  <c r="K56" i="2"/>
  <c r="CR4" i="2" s="1"/>
  <c r="CR56" i="2" s="1"/>
  <c r="L56" i="2"/>
  <c r="CS4" i="2" s="1"/>
  <c r="CS56" i="2" s="1"/>
  <c r="M56" i="2"/>
  <c r="CT4" i="2" s="1"/>
  <c r="CT56" i="2" s="1"/>
  <c r="N56" i="2"/>
  <c r="CU4" i="2" s="1"/>
  <c r="CU56" i="2" s="1"/>
  <c r="O56" i="2"/>
  <c r="CV4" i="2" s="1"/>
  <c r="CV56" i="2" s="1"/>
  <c r="P56" i="2"/>
  <c r="CW4" i="2" s="1"/>
  <c r="CW56" i="2" s="1"/>
  <c r="Q56" i="2"/>
  <c r="CX4" i="2" s="1"/>
  <c r="CX56" i="2" s="1"/>
  <c r="R56" i="2"/>
  <c r="CY4" i="2" s="1"/>
  <c r="CY56" i="2" s="1"/>
  <c r="S56" i="2"/>
  <c r="CZ4" i="2" s="1"/>
  <c r="CZ56" i="2" s="1"/>
  <c r="X56" i="2"/>
  <c r="DE4" i="2" s="1"/>
  <c r="DE56" i="2" s="1"/>
  <c r="Y56" i="2"/>
  <c r="DF4" i="2" s="1"/>
  <c r="DF56" i="2" s="1"/>
  <c r="Z56" i="2"/>
  <c r="DG4" i="2" s="1"/>
  <c r="DG56" i="2" s="1"/>
  <c r="AA56" i="2"/>
  <c r="DH4" i="2" s="1"/>
  <c r="DH56" i="2" s="1"/>
  <c r="AB56" i="2"/>
  <c r="DI4" i="2" s="1"/>
  <c r="AH56" i="2"/>
  <c r="DO4" i="2" s="1"/>
  <c r="DO56" i="2" s="1"/>
  <c r="AJ56" i="2"/>
  <c r="DQ4" i="2" s="1"/>
  <c r="DQ56" i="2" s="1"/>
  <c r="AZ56" i="2"/>
  <c r="EG4" i="2" s="1"/>
  <c r="BA56" i="2"/>
  <c r="BB56" i="2"/>
  <c r="EI4" i="2" s="1"/>
  <c r="EI56" i="2" s="1"/>
  <c r="BC56" i="2"/>
  <c r="EJ4" i="2" s="1"/>
  <c r="EJ56" i="2" s="1"/>
  <c r="BD56" i="2"/>
  <c r="EK4" i="2" s="1"/>
  <c r="EK56" i="2" s="1"/>
  <c r="BE56" i="2"/>
  <c r="EL4" i="2" s="1"/>
  <c r="BG56" i="2"/>
  <c r="EN4" i="2" s="1"/>
  <c r="BK56" i="2"/>
  <c r="ER4" i="2" s="1"/>
  <c r="ER56" i="2" s="1"/>
  <c r="BM56" i="2"/>
  <c r="ET4" i="2" s="1"/>
  <c r="ET56" i="2" s="1"/>
  <c r="BN56" i="2"/>
  <c r="EU4" i="2" s="1"/>
  <c r="EU56" i="2" s="1"/>
  <c r="CC56" i="2"/>
  <c r="FJ4" i="2" s="1"/>
  <c r="FN51" i="2"/>
  <c r="FM15" i="2"/>
  <c r="FK15" i="2"/>
  <c r="K45" i="4" l="1"/>
  <c r="AE12" i="4"/>
  <c r="A4" i="12"/>
  <c r="A84" i="12"/>
  <c r="A83" i="12"/>
  <c r="A44" i="12"/>
  <c r="A70" i="12"/>
  <c r="A54" i="12"/>
  <c r="A67" i="12"/>
  <c r="A77" i="12"/>
  <c r="A61" i="12"/>
  <c r="A75" i="12"/>
  <c r="A80" i="12"/>
  <c r="A64" i="12"/>
  <c r="A48" i="12"/>
  <c r="A74" i="12"/>
  <c r="A81" i="12"/>
  <c r="A45" i="12"/>
  <c r="A71" i="12"/>
  <c r="A82" i="12"/>
  <c r="A66" i="12"/>
  <c r="A50" i="12"/>
  <c r="A55" i="12"/>
  <c r="A73" i="12"/>
  <c r="A57" i="12"/>
  <c r="A63" i="12"/>
  <c r="A76" i="12"/>
  <c r="A60" i="12"/>
  <c r="A65" i="12"/>
  <c r="A68" i="12"/>
  <c r="A59" i="12"/>
  <c r="A78" i="12"/>
  <c r="A62" i="12"/>
  <c r="A46" i="12"/>
  <c r="A43" i="12"/>
  <c r="A69" i="12"/>
  <c r="A53" i="12"/>
  <c r="A51" i="12"/>
  <c r="A72" i="12"/>
  <c r="A56" i="12"/>
  <c r="A47" i="12"/>
  <c r="A58" i="12"/>
  <c r="A79" i="12"/>
  <c r="A49" i="12"/>
  <c r="A52" i="12"/>
  <c r="A21" i="12"/>
  <c r="A35" i="12"/>
  <c r="A20" i="12"/>
  <c r="A34" i="12"/>
  <c r="A15" i="12"/>
  <c r="A29" i="12"/>
  <c r="A14" i="12"/>
  <c r="A28" i="12"/>
  <c r="A23" i="12"/>
  <c r="A33" i="12"/>
  <c r="A17" i="12"/>
  <c r="A31" i="12"/>
  <c r="A16" i="12"/>
  <c r="A30" i="12"/>
  <c r="A41" i="12"/>
  <c r="A25" i="12"/>
  <c r="A40" i="12"/>
  <c r="A24" i="12"/>
  <c r="A39" i="12"/>
  <c r="A19" i="12"/>
  <c r="A32" i="12"/>
  <c r="A13" i="12"/>
  <c r="A27" i="12"/>
  <c r="A42" i="12"/>
  <c r="A26" i="12"/>
  <c r="A37" i="12"/>
  <c r="A22" i="12"/>
  <c r="A36" i="12"/>
  <c r="A38" i="12"/>
  <c r="A18" i="12"/>
  <c r="A11" i="12"/>
  <c r="A8" i="12"/>
  <c r="A9" i="12"/>
  <c r="A7" i="12"/>
  <c r="A10" i="12"/>
  <c r="A5" i="12"/>
  <c r="A6" i="12"/>
  <c r="A12" i="12"/>
  <c r="N45" i="4"/>
  <c r="EF10" i="2"/>
  <c r="AY42" i="2"/>
  <c r="EF45" i="2"/>
  <c r="EF35" i="2"/>
  <c r="FK35" i="2" s="1"/>
  <c r="AY11" i="2"/>
  <c r="EF38" i="2"/>
  <c r="CB20" i="2"/>
  <c r="CG20" i="2" s="1"/>
  <c r="AY34" i="2"/>
  <c r="AY16" i="2"/>
  <c r="AY39" i="2"/>
  <c r="AY36" i="2"/>
  <c r="AY26" i="2"/>
  <c r="AY20" i="2"/>
  <c r="FK27" i="2"/>
  <c r="EH4" i="2"/>
  <c r="EH56" i="2" s="1"/>
  <c r="EG56" i="2"/>
  <c r="FM45" i="2"/>
  <c r="CG39" i="2"/>
  <c r="FM37" i="2"/>
  <c r="FM38" i="2"/>
  <c r="FK10" i="2"/>
  <c r="CG33" i="2"/>
  <c r="FM43" i="2"/>
  <c r="FK21" i="2"/>
  <c r="CA4" i="4"/>
  <c r="CA45" i="4" s="1"/>
  <c r="BY4" i="4"/>
  <c r="BY45" i="4" s="1"/>
  <c r="BJ12" i="4"/>
  <c r="F12" i="12" s="1"/>
  <c r="BJ13" i="4"/>
  <c r="F13" i="12" s="1"/>
  <c r="CC4" i="4"/>
  <c r="CC45" i="4" s="1"/>
  <c r="CD4" i="4"/>
  <c r="CD45" i="4" s="1"/>
  <c r="CE4" i="4"/>
  <c r="CE45" i="4" s="1"/>
  <c r="DV4" i="4"/>
  <c r="DV45" i="4" s="1"/>
  <c r="F14" i="12"/>
  <c r="DV56" i="2"/>
  <c r="BR4" i="4"/>
  <c r="BR45" i="4" s="1"/>
  <c r="BV4" i="4"/>
  <c r="BV45" i="4" s="1"/>
  <c r="CG34" i="2"/>
  <c r="FN23" i="2"/>
  <c r="CG8" i="2"/>
  <c r="CG36" i="2"/>
  <c r="FN21" i="2"/>
  <c r="BR56" i="2"/>
  <c r="EY4" i="2" s="1"/>
  <c r="EY56" i="2" s="1"/>
  <c r="AF56" i="2"/>
  <c r="DM4" i="2" s="1"/>
  <c r="DM56" i="2" s="1"/>
  <c r="AK56" i="2"/>
  <c r="DR4" i="2" s="1"/>
  <c r="DR56" i="2" s="1"/>
  <c r="F5" i="12"/>
  <c r="FM14" i="2"/>
  <c r="F9" i="12"/>
  <c r="FM46" i="2"/>
  <c r="FK48" i="2"/>
  <c r="FM5" i="2"/>
  <c r="FK30" i="2"/>
  <c r="F8" i="12"/>
  <c r="AG56" i="2"/>
  <c r="DN4" i="2" s="1"/>
  <c r="DN56" i="2" s="1"/>
  <c r="BI56" i="2"/>
  <c r="EP4" i="2" s="1"/>
  <c r="EP56" i="2" s="1"/>
  <c r="CG5" i="2"/>
  <c r="AE56" i="2"/>
  <c r="DL4" i="2" s="1"/>
  <c r="DL56" i="2" s="1"/>
  <c r="FN37" i="2"/>
  <c r="BH56" i="2"/>
  <c r="EO4" i="2" s="1"/>
  <c r="EO56" i="2" s="1"/>
  <c r="CG26" i="2"/>
  <c r="BL56" i="2"/>
  <c r="ES4" i="2" s="1"/>
  <c r="ES56" i="2" s="1"/>
  <c r="CG16" i="2"/>
  <c r="AL56" i="2"/>
  <c r="DS4" i="2" s="1"/>
  <c r="DS56" i="2" s="1"/>
  <c r="FN10" i="2"/>
  <c r="FN5" i="2"/>
  <c r="BJ6" i="4"/>
  <c r="FN43" i="2"/>
  <c r="F11" i="12"/>
  <c r="F7" i="12"/>
  <c r="FN46" i="2"/>
  <c r="AI56" i="2"/>
  <c r="DP4" i="2" s="1"/>
  <c r="DP56" i="2" s="1"/>
  <c r="EL56" i="2"/>
  <c r="DI56" i="2"/>
  <c r="AD56" i="2"/>
  <c r="DK4" i="2" s="1"/>
  <c r="DK56" i="2" s="1"/>
  <c r="CG42" i="2"/>
  <c r="AN56" i="2"/>
  <c r="DU4" i="2" s="1"/>
  <c r="DU56" i="2" s="1"/>
  <c r="FM17" i="2"/>
  <c r="F10" i="12"/>
  <c r="EV56" i="2"/>
  <c r="AE36" i="7"/>
  <c r="O34" i="7"/>
  <c r="AD4" i="7" s="1"/>
  <c r="AD34" i="7" s="1"/>
  <c r="N34" i="7"/>
  <c r="AC4" i="7" s="1"/>
  <c r="AC34" i="7" s="1"/>
  <c r="BP56" i="2"/>
  <c r="EW4" i="2" s="1"/>
  <c r="EW56" i="2" s="1"/>
  <c r="L34" i="7"/>
  <c r="AA4" i="7" s="1"/>
  <c r="AA34" i="7" s="1"/>
  <c r="H34" i="7"/>
  <c r="W4" i="7" s="1"/>
  <c r="W34" i="7" s="1"/>
  <c r="BF56" i="2"/>
  <c r="EM4" i="2" s="1"/>
  <c r="EM56" i="2" s="1"/>
  <c r="AC56" i="2"/>
  <c r="DJ4" i="2" s="1"/>
  <c r="DJ56" i="2" s="1"/>
  <c r="EN56" i="2"/>
  <c r="AM56" i="2"/>
  <c r="DT4" i="2" s="1"/>
  <c r="DT56" i="2" s="1"/>
  <c r="FK49" i="2"/>
  <c r="FK51" i="2"/>
  <c r="F4" i="12"/>
  <c r="FK26" i="2"/>
  <c r="FK20" i="2"/>
  <c r="FK8" i="2"/>
  <c r="FK41" i="2"/>
  <c r="FK24" i="2"/>
  <c r="FM8" i="2"/>
  <c r="FK33" i="2"/>
  <c r="FK34" i="2"/>
  <c r="FK19" i="2"/>
  <c r="FK22" i="2"/>
  <c r="FK13" i="2"/>
  <c r="FK29" i="2"/>
  <c r="FK52" i="2"/>
  <c r="FK6" i="2"/>
  <c r="FK18" i="2"/>
  <c r="FK25" i="2"/>
  <c r="FK54" i="2"/>
  <c r="FK28" i="2"/>
  <c r="FM6" i="2"/>
  <c r="FK55" i="2"/>
  <c r="FM27" i="2"/>
  <c r="FM18" i="2"/>
  <c r="FK17" i="2"/>
  <c r="FM25" i="2"/>
  <c r="FM34" i="2"/>
  <c r="FM20" i="2"/>
  <c r="FK42" i="2"/>
  <c r="FM54" i="2"/>
  <c r="FM51" i="2"/>
  <c r="FM49" i="2"/>
  <c r="FK50" i="2"/>
  <c r="FM13" i="2"/>
  <c r="FM28" i="2"/>
  <c r="FK39" i="2"/>
  <c r="FK7" i="2"/>
  <c r="FK11" i="2"/>
  <c r="FM29" i="2"/>
  <c r="FK36" i="2"/>
  <c r="FM19" i="2"/>
  <c r="CE56" i="2"/>
  <c r="FL4" i="2" s="1"/>
  <c r="FL56" i="2" s="1"/>
  <c r="FM22" i="2"/>
  <c r="FK53" i="2"/>
  <c r="FK47" i="2"/>
  <c r="FK32" i="2"/>
  <c r="FM41" i="2"/>
  <c r="FM26" i="2"/>
  <c r="FK12" i="2"/>
  <c r="FK9" i="2"/>
  <c r="FK46" i="2"/>
  <c r="FM24" i="2"/>
  <c r="FK16" i="2"/>
  <c r="FK31" i="2"/>
  <c r="FK44" i="2"/>
  <c r="FK40" i="2"/>
  <c r="D61" i="9"/>
  <c r="H9" i="9" s="1"/>
  <c r="H61" i="9" s="1"/>
  <c r="I19" i="3"/>
  <c r="I32" i="3"/>
  <c r="I6" i="3"/>
  <c r="Y14" i="3"/>
  <c r="I25" i="3"/>
  <c r="Y20" i="3"/>
  <c r="I18" i="3"/>
  <c r="Y16" i="3"/>
  <c r="Y17" i="3"/>
  <c r="I42" i="3"/>
  <c r="I43" i="3"/>
  <c r="Y18" i="3"/>
  <c r="I4" i="3"/>
  <c r="I7" i="3"/>
  <c r="Y15" i="3"/>
  <c r="I11" i="3"/>
  <c r="I36" i="3"/>
  <c r="I40" i="3"/>
  <c r="I34" i="3"/>
  <c r="I8" i="3"/>
  <c r="I30" i="3"/>
  <c r="I28" i="3"/>
  <c r="Y6" i="3"/>
  <c r="I35" i="3"/>
  <c r="I31" i="3"/>
  <c r="Y12" i="3"/>
  <c r="Y13" i="3"/>
  <c r="I9" i="3"/>
  <c r="I21" i="3"/>
  <c r="I26" i="3"/>
  <c r="I16" i="3"/>
  <c r="Y9" i="3"/>
  <c r="I39" i="3"/>
  <c r="I12" i="3"/>
  <c r="Y21" i="3"/>
  <c r="I17" i="3"/>
  <c r="Y19" i="3"/>
  <c r="I13" i="3"/>
  <c r="I5" i="3"/>
  <c r="H51" i="3"/>
  <c r="P4" i="3" s="1"/>
  <c r="P51" i="3" s="1"/>
  <c r="X4" i="3" s="1"/>
  <c r="X51" i="3" s="1"/>
  <c r="I24" i="3"/>
  <c r="I14" i="3"/>
  <c r="I10" i="3"/>
  <c r="I15" i="3"/>
  <c r="I22" i="3"/>
  <c r="I33" i="3"/>
  <c r="I38" i="3"/>
  <c r="I20" i="3"/>
  <c r="Y5" i="3"/>
  <c r="I27" i="3"/>
  <c r="Y10" i="3"/>
  <c r="Y7" i="3"/>
  <c r="I41" i="3"/>
  <c r="Y8" i="3"/>
  <c r="Y11" i="3"/>
  <c r="I37" i="3"/>
  <c r="I29" i="3"/>
  <c r="F51" i="3"/>
  <c r="N4" i="3" s="1"/>
  <c r="N51" i="3" s="1"/>
  <c r="V4" i="3" s="1"/>
  <c r="V51" i="3" s="1"/>
  <c r="AY56" i="2" l="1"/>
  <c r="EF4" i="2" s="1"/>
  <c r="BJ45" i="4"/>
  <c r="DU4" i="4" s="1"/>
  <c r="DU45" i="4" s="1"/>
  <c r="AE45" i="4"/>
  <c r="CP4" i="4" s="1"/>
  <c r="CP45" i="4" s="1"/>
  <c r="FK38" i="2"/>
  <c r="FM10" i="2"/>
  <c r="FK23" i="2"/>
  <c r="FK43" i="2"/>
  <c r="FK37" i="2"/>
  <c r="FK14" i="2"/>
  <c r="FM35" i="2"/>
  <c r="FM23" i="2"/>
  <c r="FM21" i="2"/>
  <c r="CB56" i="2"/>
  <c r="FI4" i="2" s="1"/>
  <c r="FK45" i="2"/>
  <c r="FK5" i="2"/>
  <c r="FM30" i="2"/>
  <c r="FM48" i="2"/>
  <c r="F6" i="12"/>
  <c r="B6" i="12" s="1"/>
  <c r="CG56" i="2"/>
  <c r="FN4" i="2" s="1"/>
  <c r="FN56" i="2" s="1"/>
  <c r="AC36" i="7"/>
  <c r="G51" i="3"/>
  <c r="O4" i="3" s="1"/>
  <c r="O51" i="3" s="1"/>
  <c r="W4" i="3" s="1"/>
  <c r="W51" i="3" s="1"/>
  <c r="B55" i="4"/>
  <c r="BF54" i="4"/>
  <c r="I51" i="3"/>
  <c r="Q4" i="3" s="1"/>
  <c r="Q51" i="3" s="1"/>
  <c r="Y4" i="3" s="1"/>
  <c r="Y51" i="3" s="1"/>
  <c r="B10" i="12" l="1"/>
  <c r="B66" i="12"/>
  <c r="B72" i="12"/>
  <c r="B71" i="12"/>
  <c r="B23" i="12"/>
  <c r="B37" i="12"/>
  <c r="B20" i="12"/>
  <c r="B29" i="12"/>
  <c r="B21" i="12"/>
  <c r="B19" i="12"/>
  <c r="B26" i="12"/>
  <c r="B59" i="12"/>
  <c r="B62" i="12"/>
  <c r="B47" i="12"/>
  <c r="B52" i="12"/>
  <c r="B51" i="12"/>
  <c r="B54" i="12"/>
  <c r="B44" i="12"/>
  <c r="B13" i="12"/>
  <c r="B11" i="12"/>
  <c r="B64" i="12"/>
  <c r="B77" i="12"/>
  <c r="B73" i="12"/>
  <c r="B69" i="12"/>
  <c r="B17" i="12"/>
  <c r="B18" i="12"/>
  <c r="B16" i="12"/>
  <c r="B40" i="12"/>
  <c r="B36" i="12"/>
  <c r="B39" i="12"/>
  <c r="B27" i="12"/>
  <c r="B83" i="12"/>
  <c r="B78" i="12"/>
  <c r="B49" i="12"/>
  <c r="B55" i="12"/>
  <c r="B79" i="12"/>
  <c r="B50" i="12"/>
  <c r="B46" i="12"/>
  <c r="B7" i="12"/>
  <c r="B8" i="12"/>
  <c r="B14" i="12"/>
  <c r="B67" i="12"/>
  <c r="B74" i="12"/>
  <c r="B75" i="12"/>
  <c r="B76" i="12"/>
  <c r="B41" i="12"/>
  <c r="B28" i="12"/>
  <c r="B30" i="12"/>
  <c r="B24" i="12"/>
  <c r="B22" i="12"/>
  <c r="B32" i="12"/>
  <c r="B34" i="12"/>
  <c r="B53" i="12"/>
  <c r="B61" i="12"/>
  <c r="B81" i="12"/>
  <c r="B57" i="12"/>
  <c r="B82" i="12"/>
  <c r="B48" i="12"/>
  <c r="B84" i="12"/>
  <c r="B9" i="12"/>
  <c r="B5" i="12"/>
  <c r="B68" i="12"/>
  <c r="B70" i="12"/>
  <c r="B65" i="12"/>
  <c r="B15" i="12"/>
  <c r="B33" i="12"/>
  <c r="B25" i="12"/>
  <c r="B31" i="12"/>
  <c r="B42" i="12"/>
  <c r="B35" i="12"/>
  <c r="B38" i="12"/>
  <c r="B80" i="12"/>
  <c r="B58" i="12"/>
  <c r="B43" i="12"/>
  <c r="B56" i="12"/>
  <c r="B60" i="12"/>
  <c r="B63" i="12"/>
  <c r="B45" i="12"/>
  <c r="B4" i="12"/>
  <c r="B12" i="12"/>
  <c r="FI56" i="2"/>
  <c r="FG56" i="2"/>
  <c r="DU47" i="4"/>
  <c r="BF55" i="4"/>
  <c r="B54" i="4"/>
  <c r="B53" i="4"/>
  <c r="BF53" i="4"/>
  <c r="B52" i="4"/>
  <c r="BF52" i="4"/>
  <c r="B56" i="4"/>
  <c r="BF56" i="4"/>
  <c r="E3" i="9" l="1"/>
  <c r="DS54" i="4"/>
  <c r="DS56" i="4"/>
  <c r="BM55" i="4"/>
  <c r="DS53" i="4"/>
  <c r="BM56" i="4"/>
  <c r="BM54" i="4"/>
  <c r="BM53" i="4"/>
  <c r="DS52" i="4"/>
  <c r="BM52" i="4"/>
  <c r="DS55" i="4"/>
  <c r="CD4" i="2" l="1"/>
  <c r="CF4" i="2"/>
  <c r="CF9" i="2"/>
  <c r="CD9" i="2"/>
  <c r="CF25" i="2"/>
  <c r="CD25" i="2"/>
  <c r="CF41" i="2"/>
  <c r="CD41" i="2"/>
  <c r="CD6" i="2"/>
  <c r="CF6" i="2"/>
  <c r="CD22" i="2"/>
  <c r="CF22" i="2"/>
  <c r="CF38" i="2"/>
  <c r="CD38" i="2"/>
  <c r="CF54" i="2"/>
  <c r="CD54" i="2"/>
  <c r="CF19" i="2"/>
  <c r="CD19" i="2"/>
  <c r="CF35" i="2"/>
  <c r="CD35" i="2"/>
  <c r="CD51" i="2"/>
  <c r="CF51" i="2"/>
  <c r="CD20" i="2"/>
  <c r="CF20" i="2"/>
  <c r="CF36" i="2"/>
  <c r="CD36" i="2"/>
  <c r="CD52" i="2"/>
  <c r="CF52" i="2"/>
  <c r="CD13" i="2"/>
  <c r="CF13" i="2"/>
  <c r="CF17" i="2"/>
  <c r="CD17" i="2"/>
  <c r="CD21" i="2"/>
  <c r="CF21" i="2"/>
  <c r="CF29" i="2"/>
  <c r="CD29" i="2"/>
  <c r="CD33" i="2"/>
  <c r="CF33" i="2"/>
  <c r="CF37" i="2"/>
  <c r="CD37" i="2"/>
  <c r="CF45" i="2"/>
  <c r="CD45" i="2"/>
  <c r="CD49" i="2"/>
  <c r="CF49" i="2"/>
  <c r="CF53" i="2"/>
  <c r="CD53" i="2"/>
  <c r="CD10" i="2"/>
  <c r="CF10" i="2"/>
  <c r="CD14" i="2"/>
  <c r="CF14" i="2"/>
  <c r="CD18" i="2"/>
  <c r="CF18" i="2"/>
  <c r="CF26" i="2"/>
  <c r="CD26" i="2"/>
  <c r="CF30" i="2"/>
  <c r="CD30" i="2"/>
  <c r="CD34" i="2"/>
  <c r="CF34" i="2"/>
  <c r="CD42" i="2"/>
  <c r="CF42" i="2"/>
  <c r="CF46" i="2"/>
  <c r="CD46" i="2"/>
  <c r="CD50" i="2"/>
  <c r="CF50" i="2"/>
  <c r="CF7" i="2"/>
  <c r="CD7" i="2"/>
  <c r="CF11" i="2"/>
  <c r="CD11" i="2"/>
  <c r="CF15" i="2"/>
  <c r="CD15" i="2"/>
  <c r="CD23" i="2"/>
  <c r="CF23" i="2"/>
  <c r="CD27" i="2"/>
  <c r="CF27" i="2"/>
  <c r="CD31" i="2"/>
  <c r="CF31" i="2"/>
  <c r="CF39" i="2"/>
  <c r="CD39" i="2"/>
  <c r="CD43" i="2"/>
  <c r="CF43" i="2"/>
  <c r="CF47" i="2"/>
  <c r="CD47" i="2"/>
  <c r="CF8" i="2"/>
  <c r="CD8" i="2"/>
  <c r="CF12" i="2"/>
  <c r="CD12" i="2"/>
  <c r="CD16" i="2"/>
  <c r="CF16" i="2"/>
  <c r="CD24" i="2"/>
  <c r="CF24" i="2"/>
  <c r="CF28" i="2"/>
  <c r="CD28" i="2"/>
  <c r="CD32" i="2"/>
  <c r="CF32" i="2"/>
  <c r="CD40" i="2"/>
  <c r="CF40" i="2"/>
  <c r="CF44" i="2"/>
  <c r="CD44" i="2"/>
  <c r="CF48" i="2"/>
  <c r="CD48" i="2"/>
  <c r="CF5" i="2"/>
  <c r="CD5" i="2"/>
  <c r="EF56" i="2" l="1"/>
  <c r="ED56" i="2"/>
  <c r="CD56" i="2"/>
  <c r="CF56" i="2"/>
  <c r="FM4" i="2" s="1"/>
  <c r="FM56" i="2" s="1"/>
  <c r="E1" i="9" s="1"/>
  <c r="FK4" i="2" l="1"/>
  <c r="FK56" i="2" s="1"/>
  <c r="FJ56" i="2"/>
  <c r="E2" i="9"/>
  <c r="H63" i="9" l="1"/>
</calcChain>
</file>

<file path=xl/sharedStrings.xml><?xml version="1.0" encoding="utf-8"?>
<sst xmlns="http://schemas.openxmlformats.org/spreadsheetml/2006/main" count="921" uniqueCount="228">
  <si>
    <t>Publics</t>
  </si>
  <si>
    <t>Privés</t>
  </si>
  <si>
    <t>Totaux</t>
  </si>
  <si>
    <t>DEPARTEMENT</t>
  </si>
  <si>
    <t>ajustement</t>
  </si>
  <si>
    <t>AIN</t>
  </si>
  <si>
    <t>AISNE</t>
  </si>
  <si>
    <t>ALLIER</t>
  </si>
  <si>
    <t>ALPES-DE-HTE-PROVENCE</t>
  </si>
  <si>
    <t>ALPES (Hautes-)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</si>
  <si>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</si>
  <si>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</si>
  <si>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</si>
  <si>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</si>
  <si>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</si>
  <si>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</si>
  <si>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</si>
  <si>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</si>
  <si>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</si>
  <si>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</si>
  <si>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</si>
  <si>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</si>
  <si>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</si>
  <si>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</si>
  <si>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</si>
  <si>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</si>
  <si>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</si>
  <si>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</si>
  <si>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</si>
  <si>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</si>
  <si>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</si>
  <si>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</si>
  <si>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</si>
  <si>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</si>
  <si>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GARONNE (Haute-)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</si>
  <si>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</si>
  <si>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</si>
  <si>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</si>
  <si>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</si>
  <si>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</si>
  <si>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</si>
  <si>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</si>
  <si>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</si>
  <si>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</si>
  <si>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</si>
  <si>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</si>
  <si>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LOIRE (Haute-)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</si>
  <si>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</si>
  <si>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</si>
  <si>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</si>
  <si>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</si>
  <si>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</si>
  <si>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</si>
  <si>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</si>
  <si>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</si>
  <si>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MARNE (Haute-)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</si>
  <si>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</si>
  <si>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</si>
  <si>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</si>
  <si>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</si>
  <si>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</si>
  <si>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</si>
  <si>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</si>
  <si>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</si>
  <si>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</si>
  <si>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</si>
  <si>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</si>
  <si>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</si>
  <si>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PYRÉNÉES (Hautes-)</t>
  </si>
  <si>
    <t>PYRÉNÉES-ORIENTALES</t>
  </si>
  <si>
    <t>RHIN (Bas-)</t>
  </si>
  <si>
    <t>RHIN (Haut-)</t>
  </si>
  <si>
    <t>RHÔNE</t>
  </si>
  <si>
    <t>SAÔNE (Haute-)</t>
  </si>
  <si>
    <t>SAÔNE-ET-LOIRE</t>
  </si>
  <si>
    <t>SARTHE</t>
  </si>
  <si>
    <t>SAVOIE</t>
  </si>
  <si>
    <t>SAVOIE (Haute-)</t>
  </si>
  <si>
    <t>PARIS</t>
  </si>
  <si>
    <t>SEINE-MARITIME</t>
  </si>
  <si>
    <t>SEINE-ET-MARNE</t>
  </si>
  <si>
    <t>YVELINES</t>
  </si>
  <si>
    <t>SÈVRES (Deux-)</t>
  </si>
  <si>
    <t>SOMME</t>
  </si>
  <si>
    <t>TARN</t>
  </si>
  <si>
    <t>TARN-ET-GARONNE</t>
  </si>
  <si>
    <t>VAR</t>
  </si>
  <si>
    <t>VAUCLUSE</t>
  </si>
  <si>
    <t>VENDÉE</t>
  </si>
  <si>
    <t>VIENNE</t>
  </si>
  <si>
    <t>VIENNE (Haute-)</t>
  </si>
  <si>
    <t>VOSGES</t>
  </si>
  <si>
    <t>YONNE</t>
  </si>
  <si>
    <t>BELFORT (Territoire de)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</si>
  <si>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</si>
  <si>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</si>
  <si>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</si>
  <si>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</si>
  <si>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</si>
  <si>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</si>
  <si>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</si>
  <si>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</si>
  <si>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RÉUNION</t>
  </si>
  <si>
    <t>Total Général</t>
  </si>
  <si>
    <t>Report</t>
  </si>
  <si>
    <t>Total à reporter</t>
  </si>
  <si>
    <t>Classt</t>
  </si>
  <si>
    <t>N° Dépt</t>
  </si>
  <si>
    <t>DÉPARTEMENT</t>
  </si>
  <si>
    <t>Ajustement</t>
  </si>
  <si>
    <t>Total</t>
  </si>
  <si>
    <t>1er</t>
  </si>
  <si>
    <t>Total partiel</t>
  </si>
  <si>
    <t>Plusieurs pourraient rejoindre le club des 100. Pour celà, les chasseurs doivent reporter leurs efforts sur les départements "pauvres".</t>
  </si>
  <si>
    <t>Servez-vous de la banque de données pour faire vos recherches. Pensez que tout renseignement non utilisé concernant des cadrans</t>
  </si>
  <si>
    <t>dans des ouvrages, journaux, etc... ou aperçus lors de vos voyages ou chasses, ou soupsonnés existants peuvent servir à vos collègues.</t>
  </si>
  <si>
    <t>Faites les parvenir pour alimenter cette banque.</t>
  </si>
  <si>
    <t>PAYS</t>
  </si>
  <si>
    <t>Ajustem.Pu</t>
  </si>
  <si>
    <t>Ajustem.Pr</t>
  </si>
  <si>
    <t>ALGÉRIE</t>
  </si>
  <si>
    <t>ALLEMAGNE</t>
  </si>
  <si>
    <t>MALTE</t>
  </si>
  <si>
    <t>ANDORRE</t>
  </si>
  <si>
    <t>MAROC</t>
  </si>
  <si>
    <t>ARGENTINE</t>
  </si>
  <si>
    <t>MEXIQUE</t>
  </si>
  <si>
    <t>AUTRICHE</t>
  </si>
  <si>
    <t>MONACO</t>
  </si>
  <si>
    <t>BELGIQUE</t>
  </si>
  <si>
    <t>NORVÈGE</t>
  </si>
  <si>
    <t>BOLIVIE</t>
  </si>
  <si>
    <t>NOUVELLE-ZÉLANDE</t>
  </si>
  <si>
    <t>BRÉSIL</t>
  </si>
  <si>
    <t>PAYS-BAS</t>
  </si>
  <si>
    <t>BULGARIE</t>
  </si>
  <si>
    <t>POLOGNE</t>
  </si>
  <si>
    <t>CANADA</t>
  </si>
  <si>
    <t>PORTUGAL</t>
  </si>
  <si>
    <t>CHINE</t>
  </si>
  <si>
    <t>ROUMANIE</t>
  </si>
  <si>
    <t>ÉQUATEUR</t>
  </si>
  <si>
    <t>RÉP.SUD AFRICAINE</t>
  </si>
  <si>
    <t>ESPAGNE</t>
  </si>
  <si>
    <t>SUÈDE</t>
  </si>
  <si>
    <t>FINLANDE</t>
  </si>
  <si>
    <t>SUISSE</t>
  </si>
  <si>
    <t>GRANDE-BRETAGNE</t>
  </si>
  <si>
    <t>SYRIE</t>
  </si>
  <si>
    <t>GRÈCE</t>
  </si>
  <si>
    <t>TCHÉCOSLOVAQUIE</t>
  </si>
  <si>
    <t>HONGRIE</t>
  </si>
  <si>
    <t>TUNISIE</t>
  </si>
  <si>
    <t>INDE</t>
  </si>
  <si>
    <t>TURQUIE</t>
  </si>
  <si>
    <t>IRLANDE</t>
  </si>
  <si>
    <t>U R S S</t>
  </si>
  <si>
    <t>ISRAËL</t>
  </si>
  <si>
    <t>U S A</t>
  </si>
  <si>
    <t>ITALIE</t>
  </si>
  <si>
    <t>VATICAN</t>
  </si>
  <si>
    <t>LIECHSTENTEIN</t>
  </si>
  <si>
    <t>VÉNÉZUELA</t>
  </si>
  <si>
    <t>LUXEMBOURG</t>
  </si>
  <si>
    <t xml:space="preserve">dont  =  </t>
  </si>
  <si>
    <t xml:space="preserve">et  =  </t>
  </si>
  <si>
    <t>Découverts</t>
  </si>
  <si>
    <t>DANEMARK</t>
  </si>
  <si>
    <t>EGYPTE</t>
  </si>
  <si>
    <t>BOSNIE-HERZEGOVINE</t>
  </si>
  <si>
    <t>CROATIE</t>
  </si>
  <si>
    <t>SERBIE</t>
  </si>
  <si>
    <t>SLOVENIE</t>
  </si>
  <si>
    <t>* Les 7 cadrans de Yougoslavie ont été répartis : Bosnie-Herzegovine (2) + Croatie (4) + Slovénie (1)</t>
  </si>
  <si>
    <t>Avant</t>
  </si>
  <si>
    <t>Après</t>
  </si>
  <si>
    <t xml:space="preserve"> = Modification de la répartition</t>
  </si>
  <si>
    <t>reclass. 99</t>
  </si>
  <si>
    <t>REP.DOMINICAINE</t>
  </si>
  <si>
    <t>ESTONIE</t>
  </si>
  <si>
    <t>NAMIBIE</t>
  </si>
  <si>
    <t>SLOVAQUIE</t>
  </si>
  <si>
    <t>MADAGASCAR</t>
  </si>
  <si>
    <t>PEROU</t>
  </si>
  <si>
    <t>AUSTRALIE</t>
  </si>
  <si>
    <t>ISLANDE</t>
  </si>
  <si>
    <t>LITUANIE</t>
  </si>
  <si>
    <t>ARABIE-SAOUDITE</t>
  </si>
  <si>
    <t>COREE DU SUD</t>
  </si>
  <si>
    <t>GIBRALTAR</t>
  </si>
  <si>
    <t>IRAN</t>
  </si>
  <si>
    <t>JAPON</t>
  </si>
  <si>
    <t>ARMENIE</t>
  </si>
  <si>
    <t>RUSSIE</t>
  </si>
  <si>
    <t>MONTENEGRO</t>
  </si>
  <si>
    <t>Palmarès des cadrans découverts cumulés :</t>
  </si>
  <si>
    <t>Palmarès des cadrans découverts cette année :</t>
  </si>
  <si>
    <t>Pour colorer cellule de répartition modifiée : enlever protection, puis aller dans FORMAT puis CELLULE et MOTIF (choisir couleur)</t>
  </si>
  <si>
    <t>Après avoir effectué la coloration de cellule, remettre la PROTECTION</t>
  </si>
  <si>
    <t>Pour la protection : aller dans OUTIL puis PROTECTION et protéger la feuille ou ôter protéger la feuille</t>
  </si>
  <si>
    <t>Rectif dossier base (pour modifier la répartition) jouer sur chiffres de l'année précédente (ici 2006) dans public et privé</t>
  </si>
  <si>
    <t>AFGHANISTAN</t>
  </si>
  <si>
    <t>SINGAPOUR</t>
  </si>
  <si>
    <t>CHILI</t>
  </si>
  <si>
    <t>Dans dossier Chasseurs pour Contrib et Classement remplir les cadrans vus et nouveaux dans Base</t>
  </si>
  <si>
    <t>Dans dossier Série frapper simplement n° des départements et le nombre de cadrans dans les colonnes</t>
  </si>
  <si>
    <t>2A</t>
  </si>
  <si>
    <t>2B</t>
  </si>
  <si>
    <t>CORSE-DU-SUD</t>
  </si>
  <si>
    <t>HAUTE-CORSE</t>
  </si>
  <si>
    <t>COLOMBIE</t>
  </si>
  <si>
    <t>CUBA</t>
  </si>
  <si>
    <t>COSTA-RICA</t>
  </si>
  <si>
    <t>LETTONIE</t>
  </si>
  <si>
    <t>LIBAN</t>
  </si>
  <si>
    <t>THAÏLANDE</t>
  </si>
  <si>
    <t>TCHÉQUIE</t>
  </si>
  <si>
    <t>SAINT-MARTIN</t>
  </si>
  <si>
    <t>POLYNÉSIE-FRANÇAISE</t>
  </si>
  <si>
    <t>= Modification de la répartition</t>
  </si>
  <si>
    <t>BIÉLORUSSIE</t>
  </si>
  <si>
    <t>UKRAINE</t>
  </si>
  <si>
    <t>RÉP.SAN MARIN</t>
  </si>
  <si>
    <t>TOGO</t>
  </si>
  <si>
    <t>LIBYE</t>
  </si>
  <si>
    <t>Cumul fin 2021</t>
  </si>
  <si>
    <t>BARBADES</t>
  </si>
  <si>
    <t xml:space="preserve">2023  =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</si>
</sst>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-;\-* #,##0.00\ _F_-;_-* &quot;-&quot;??\ _F_-;_-@_-"/>
    <numFmt numFmtId="165" formatCode="00"/>
    <numFmt numFmtId="166" formatCode="#,##0&quot; Cadrans&quot;"/>
    <numFmt numFmtId="167" formatCode="0&quot; er&quot;"/>
    <numFmt numFmtId="168" formatCode="0&quot; ème&quot;"/>
  </numFmts>
  <fonts count="42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4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trike/>
      <sz val="8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i/>
      <sz val="7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6"/>
      <color indexed="10"/>
      <name val="Arial"/>
      <family val="2"/>
    </font>
    <font>
      <b/>
      <i/>
      <sz val="10"/>
      <color indexed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5">
    <xf numFmtId="0" fontId="0" fillId="0" borderId="0" xfId="0"/>
    <xf numFmtId="165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8" fillId="0" borderId="4" xfId="0" applyNumberFormat="1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165" fontId="0" fillId="0" borderId="6" xfId="0" applyNumberForma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11" fillId="0" borderId="7" xfId="0" applyFont="1" applyBorder="1"/>
    <xf numFmtId="165" fontId="0" fillId="0" borderId="9" xfId="0" applyNumberForma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4" fillId="0" borderId="11" xfId="2" applyNumberFormat="1" applyFont="1" applyBorder="1" applyAlignment="1">
      <alignment horizontal="center" vertical="center"/>
    </xf>
    <xf numFmtId="0" fontId="0" fillId="0" borderId="10" xfId="0" applyBorder="1"/>
    <xf numFmtId="0" fontId="11" fillId="0" borderId="0" xfId="0" applyFont="1"/>
    <xf numFmtId="165" fontId="0" fillId="0" borderId="6" xfId="0" applyNumberFormat="1" applyBorder="1"/>
    <xf numFmtId="0" fontId="0" fillId="0" borderId="8" xfId="0" applyBorder="1" applyAlignment="1">
      <alignment horizontal="center"/>
    </xf>
    <xf numFmtId="0" fontId="5" fillId="0" borderId="12" xfId="0" applyFont="1" applyBorder="1"/>
    <xf numFmtId="0" fontId="0" fillId="0" borderId="13" xfId="0" applyBorder="1" applyAlignment="1">
      <alignment horizontal="center"/>
    </xf>
    <xf numFmtId="165" fontId="0" fillId="0" borderId="14" xfId="0" applyNumberFormat="1" applyBorder="1"/>
    <xf numFmtId="165" fontId="5" fillId="0" borderId="0" xfId="0" applyNumberFormat="1" applyFont="1"/>
    <xf numFmtId="0" fontId="4" fillId="0" borderId="0" xfId="0" applyFont="1"/>
    <xf numFmtId="0" fontId="9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Continuous" vertical="center"/>
    </xf>
    <xf numFmtId="0" fontId="15" fillId="0" borderId="16" xfId="0" applyFont="1" applyBorder="1" applyAlignment="1">
      <alignment horizontal="centerContinuous"/>
    </xf>
    <xf numFmtId="0" fontId="5" fillId="0" borderId="16" xfId="0" applyFont="1" applyBorder="1" applyAlignment="1">
      <alignment horizontal="center" textRotation="255"/>
    </xf>
    <xf numFmtId="0" fontId="16" fillId="0" borderId="16" xfId="0" applyFont="1" applyBorder="1" applyAlignment="1">
      <alignment horizontal="center" vertical="center" textRotation="90"/>
    </xf>
    <xf numFmtId="1" fontId="5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0" fontId="5" fillId="0" borderId="19" xfId="0" applyFont="1" applyBorder="1"/>
    <xf numFmtId="0" fontId="10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" fontId="2" fillId="0" borderId="11" xfId="2" applyNumberFormat="1" applyFont="1" applyBorder="1" applyAlignment="1">
      <alignment horizontal="center" vertical="center"/>
    </xf>
    <xf numFmtId="0" fontId="0" fillId="0" borderId="19" xfId="0" applyBorder="1"/>
    <xf numFmtId="0" fontId="0" fillId="0" borderId="18" xfId="0" applyBorder="1"/>
    <xf numFmtId="0" fontId="0" fillId="0" borderId="21" xfId="0" applyBorder="1"/>
    <xf numFmtId="165" fontId="5" fillId="0" borderId="22" xfId="0" applyNumberFormat="1" applyFont="1" applyBorder="1" applyAlignment="1">
      <alignment horizontal="center"/>
    </xf>
    <xf numFmtId="0" fontId="11" fillId="0" borderId="12" xfId="0" applyFont="1" applyBorder="1"/>
    <xf numFmtId="0" fontId="5" fillId="0" borderId="22" xfId="0" applyFont="1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1" fontId="17" fillId="0" borderId="2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5" fontId="5" fillId="0" borderId="23" xfId="0" applyNumberFormat="1" applyFont="1" applyBorder="1"/>
    <xf numFmtId="0" fontId="5" fillId="0" borderId="23" xfId="0" applyFont="1" applyBorder="1"/>
    <xf numFmtId="0" fontId="13" fillId="0" borderId="23" xfId="0" applyFont="1" applyBorder="1" applyAlignment="1">
      <alignment horizontal="right"/>
    </xf>
    <xf numFmtId="0" fontId="9" fillId="0" borderId="0" xfId="0" applyFont="1"/>
    <xf numFmtId="1" fontId="0" fillId="0" borderId="0" xfId="0" applyNumberFormat="1"/>
    <xf numFmtId="10" fontId="0" fillId="0" borderId="0" xfId="0" applyNumberFormat="1" applyAlignment="1">
      <alignment horizontal="center"/>
    </xf>
    <xf numFmtId="0" fontId="15" fillId="0" borderId="15" xfId="0" applyFont="1" applyBorder="1" applyAlignment="1">
      <alignment horizontal="centerContinuous" vertical="center"/>
    </xf>
    <xf numFmtId="0" fontId="5" fillId="0" borderId="27" xfId="0" applyFont="1" applyBorder="1"/>
    <xf numFmtId="0" fontId="11" fillId="0" borderId="27" xfId="0" applyFont="1" applyBorder="1"/>
    <xf numFmtId="0" fontId="0" fillId="0" borderId="11" xfId="0" applyBorder="1"/>
    <xf numFmtId="0" fontId="0" fillId="0" borderId="27" xfId="0" applyBorder="1"/>
    <xf numFmtId="0" fontId="5" fillId="0" borderId="18" xfId="0" applyFont="1" applyBorder="1"/>
    <xf numFmtId="0" fontId="11" fillId="0" borderId="28" xfId="0" applyFont="1" applyBorder="1"/>
    <xf numFmtId="0" fontId="5" fillId="0" borderId="29" xfId="0" applyFont="1" applyBorder="1"/>
    <xf numFmtId="0" fontId="0" fillId="0" borderId="30" xfId="0" applyBorder="1"/>
    <xf numFmtId="0" fontId="0" fillId="0" borderId="0" xfId="0" applyAlignment="1">
      <alignment horizontal="right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2" xfId="0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11" fillId="0" borderId="5" xfId="0" applyFont="1" applyBorder="1"/>
    <xf numFmtId="165" fontId="5" fillId="0" borderId="27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33" xfId="0" applyFont="1" applyBorder="1"/>
    <xf numFmtId="0" fontId="5" fillId="0" borderId="33" xfId="0" applyFont="1" applyBorder="1"/>
    <xf numFmtId="0" fontId="13" fillId="0" borderId="7" xfId="0" applyFont="1" applyBorder="1" applyAlignment="1">
      <alignment horizontal="right"/>
    </xf>
    <xf numFmtId="0" fontId="5" fillId="0" borderId="28" xfId="0" applyFont="1" applyBorder="1"/>
    <xf numFmtId="0" fontId="0" fillId="0" borderId="34" xfId="0" applyBorder="1"/>
    <xf numFmtId="0" fontId="0" fillId="0" borderId="12" xfId="0" applyBorder="1"/>
    <xf numFmtId="0" fontId="5" fillId="0" borderId="35" xfId="0" applyFont="1" applyBorder="1" applyAlignment="1">
      <alignment horizontal="centerContinuous" vertical="center"/>
    </xf>
    <xf numFmtId="0" fontId="5" fillId="0" borderId="36" xfId="0" applyFont="1" applyBorder="1" applyAlignment="1">
      <alignment horizontal="centerContinuous" vertical="center" wrapText="1"/>
    </xf>
    <xf numFmtId="1" fontId="23" fillId="0" borderId="11" xfId="2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0" borderId="35" xfId="0" applyFont="1" applyBorder="1" applyAlignment="1">
      <alignment horizontal="center" textRotation="255"/>
    </xf>
    <xf numFmtId="0" fontId="24" fillId="0" borderId="0" xfId="0" applyFont="1"/>
    <xf numFmtId="0" fontId="18" fillId="0" borderId="10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6" fillId="0" borderId="38" xfId="0" applyFont="1" applyBorder="1" applyAlignment="1">
      <alignment horizontal="centerContinuous"/>
    </xf>
    <xf numFmtId="0" fontId="26" fillId="0" borderId="27" xfId="0" applyFont="1" applyBorder="1"/>
    <xf numFmtId="0" fontId="27" fillId="0" borderId="19" xfId="0" applyFont="1" applyBorder="1" applyAlignment="1">
      <alignment horizontal="center" vertical="center"/>
    </xf>
    <xf numFmtId="1" fontId="27" fillId="0" borderId="11" xfId="2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25" fillId="0" borderId="0" xfId="0" applyFont="1"/>
    <xf numFmtId="0" fontId="5" fillId="0" borderId="16" xfId="0" applyFont="1" applyBorder="1" applyAlignment="1">
      <alignment horizontal="center" textRotation="90"/>
    </xf>
    <xf numFmtId="0" fontId="31" fillId="0" borderId="19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1" fontId="31" fillId="0" borderId="11" xfId="2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5" fontId="8" fillId="0" borderId="40" xfId="0" applyNumberFormat="1" applyFont="1" applyBorder="1" applyAlignment="1">
      <alignment horizontal="centerContinuous" vertical="center"/>
    </xf>
    <xf numFmtId="0" fontId="17" fillId="0" borderId="1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" fontId="4" fillId="0" borderId="42" xfId="2" applyNumberFormat="1" applyFont="1" applyBorder="1" applyAlignment="1">
      <alignment horizontal="center" vertical="center"/>
    </xf>
    <xf numFmtId="1" fontId="4" fillId="0" borderId="42" xfId="2" applyNumberFormat="1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7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4" xfId="0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0" fillId="0" borderId="44" xfId="0" applyBorder="1"/>
    <xf numFmtId="165" fontId="0" fillId="0" borderId="44" xfId="0" applyNumberFormat="1" applyBorder="1"/>
    <xf numFmtId="0" fontId="5" fillId="0" borderId="44" xfId="0" applyFont="1" applyBorder="1"/>
    <xf numFmtId="0" fontId="0" fillId="0" borderId="45" xfId="0" applyBorder="1"/>
    <xf numFmtId="0" fontId="5" fillId="0" borderId="4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" fontId="23" fillId="0" borderId="46" xfId="2" applyNumberFormat="1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1" fontId="30" fillId="0" borderId="47" xfId="0" applyNumberFormat="1" applyFont="1" applyBorder="1" applyAlignment="1">
      <alignment horizontal="center"/>
    </xf>
    <xf numFmtId="0" fontId="34" fillId="0" borderId="47" xfId="0" applyFont="1" applyBorder="1"/>
    <xf numFmtId="0" fontId="30" fillId="0" borderId="47" xfId="0" applyFont="1" applyBorder="1"/>
    <xf numFmtId="0" fontId="22" fillId="0" borderId="47" xfId="0" applyFont="1" applyBorder="1"/>
    <xf numFmtId="0" fontId="22" fillId="0" borderId="47" xfId="0" applyFont="1" applyBorder="1" applyAlignment="1">
      <alignment horizontal="center"/>
    </xf>
    <xf numFmtId="1" fontId="23" fillId="0" borderId="42" xfId="2" applyNumberFormat="1" applyFont="1" applyBorder="1" applyAlignment="1">
      <alignment horizontal="center" vertical="center"/>
    </xf>
    <xf numFmtId="1" fontId="4" fillId="0" borderId="46" xfId="2" applyNumberFormat="1" applyFont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23" fillId="0" borderId="0" xfId="0" applyFont="1"/>
    <xf numFmtId="3" fontId="4" fillId="0" borderId="0" xfId="1" applyNumberFormat="1" applyFill="1"/>
    <xf numFmtId="0" fontId="10" fillId="2" borderId="43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right" vertical="top"/>
    </xf>
    <xf numFmtId="0" fontId="9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Protection="1"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Protection="1">
      <protection locked="0"/>
    </xf>
    <xf numFmtId="10" fontId="0" fillId="0" borderId="0" xfId="0" applyNumberFormat="1" applyProtection="1"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34" fillId="0" borderId="48" xfId="0" applyFont="1" applyBorder="1"/>
    <xf numFmtId="0" fontId="36" fillId="0" borderId="0" xfId="0" applyFont="1" applyAlignment="1">
      <alignment horizontal="right"/>
    </xf>
    <xf numFmtId="1" fontId="23" fillId="0" borderId="0" xfId="2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3" borderId="0" xfId="0" applyFill="1"/>
    <xf numFmtId="0" fontId="0" fillId="3" borderId="12" xfId="0" applyFill="1" applyBorder="1"/>
    <xf numFmtId="168" fontId="5" fillId="3" borderId="27" xfId="0" applyNumberFormat="1" applyFont="1" applyFill="1" applyBorder="1" applyAlignment="1">
      <alignment horizontal="center"/>
    </xf>
    <xf numFmtId="168" fontId="5" fillId="3" borderId="28" xfId="0" applyNumberFormat="1" applyFont="1" applyFill="1" applyBorder="1" applyAlignment="1">
      <alignment horizontal="center"/>
    </xf>
    <xf numFmtId="167" fontId="37" fillId="3" borderId="4" xfId="0" applyNumberFormat="1" applyFont="1" applyFill="1" applyBorder="1" applyAlignment="1">
      <alignment horizontal="center"/>
    </xf>
    <xf numFmtId="0" fontId="38" fillId="3" borderId="5" xfId="0" applyFont="1" applyFill="1" applyBorder="1"/>
    <xf numFmtId="0" fontId="39" fillId="3" borderId="1" xfId="0" applyFont="1" applyFill="1" applyBorder="1"/>
    <xf numFmtId="0" fontId="39" fillId="3" borderId="38" xfId="0" applyFont="1" applyFill="1" applyBorder="1"/>
    <xf numFmtId="0" fontId="39" fillId="3" borderId="2" xfId="0" applyFont="1" applyFill="1" applyBorder="1"/>
    <xf numFmtId="0" fontId="35" fillId="0" borderId="0" xfId="0" applyFont="1" applyAlignment="1">
      <alignment horizontal="right" vertical="top"/>
    </xf>
    <xf numFmtId="1" fontId="1" fillId="0" borderId="5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9" fillId="0" borderId="48" xfId="0" applyNumberFormat="1" applyFont="1" applyBorder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34" fillId="0" borderId="50" xfId="0" applyNumberFormat="1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40" fillId="0" borderId="0" xfId="0" applyFont="1"/>
    <xf numFmtId="0" fontId="5" fillId="0" borderId="1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44" xfId="0" applyFont="1" applyBorder="1"/>
    <xf numFmtId="0" fontId="38" fillId="0" borderId="0" xfId="0" applyFont="1"/>
    <xf numFmtId="1" fontId="0" fillId="4" borderId="0" xfId="0" applyNumberFormat="1" applyFill="1"/>
    <xf numFmtId="0" fontId="4" fillId="0" borderId="0" xfId="0" applyFont="1" applyAlignment="1">
      <alignment horizontal="right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165" fontId="0" fillId="5" borderId="0" xfId="0" applyNumberFormat="1" applyFill="1"/>
    <xf numFmtId="0" fontId="22" fillId="5" borderId="43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0" fontId="41" fillId="0" borderId="0" xfId="0" applyFont="1"/>
    <xf numFmtId="0" fontId="10" fillId="5" borderId="41" xfId="0" applyFont="1" applyFill="1" applyBorder="1" applyAlignment="1" applyProtection="1">
      <alignment horizontal="center" vertical="center"/>
      <protection locked="0"/>
    </xf>
    <xf numFmtId="0" fontId="10" fillId="5" borderId="41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43" xfId="0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 textRotation="255"/>
    </xf>
    <xf numFmtId="1" fontId="2" fillId="0" borderId="7" xfId="0" applyNumberFormat="1" applyFont="1" applyBorder="1" applyAlignment="1">
      <alignment horizontal="center"/>
    </xf>
    <xf numFmtId="1" fontId="2" fillId="0" borderId="49" xfId="0" applyNumberFormat="1" applyFont="1" applyBorder="1" applyAlignment="1">
      <alignment horizontal="center"/>
    </xf>
    <xf numFmtId="0" fontId="17" fillId="0" borderId="0" xfId="0" applyFont="1"/>
    <xf numFmtId="0" fontId="0" fillId="5" borderId="0" xfId="0" applyFill="1"/>
    <xf numFmtId="49" fontId="0" fillId="0" borderId="0" xfId="0" applyNumberFormat="1"/>
    <xf numFmtId="0" fontId="22" fillId="5" borderId="19" xfId="0" applyFont="1" applyFill="1" applyBorder="1" applyAlignment="1">
      <alignment horizontal="center" vertical="center"/>
    </xf>
    <xf numFmtId="1" fontId="31" fillId="0" borderId="23" xfId="0" applyNumberFormat="1" applyFont="1" applyBorder="1" applyAlignment="1">
      <alignment horizontal="center"/>
    </xf>
    <xf numFmtId="1" fontId="31" fillId="0" borderId="26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3" fillId="3" borderId="38" xfId="0" applyFont="1" applyFill="1" applyBorder="1"/>
    <xf numFmtId="0" fontId="0" fillId="0" borderId="8" xfId="0" applyBorder="1"/>
    <xf numFmtId="0" fontId="6" fillId="0" borderId="1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8" xfId="0" applyBorder="1"/>
    <xf numFmtId="0" fontId="0" fillId="0" borderId="2" xfId="0" applyBorder="1"/>
    <xf numFmtId="166" fontId="0" fillId="3" borderId="0" xfId="0" applyNumberFormat="1" applyFill="1" applyAlignment="1">
      <alignment horizontal="center"/>
    </xf>
    <xf numFmtId="166" fontId="0" fillId="3" borderId="11" xfId="0" applyNumberFormat="1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166" fontId="0" fillId="3" borderId="30" xfId="0" applyNumberFormat="1" applyFill="1" applyBorder="1" applyAlignment="1">
      <alignment horizontal="center"/>
    </xf>
    <xf numFmtId="166" fontId="38" fillId="3" borderId="5" xfId="0" applyNumberFormat="1" applyFont="1" applyFill="1" applyBorder="1" applyAlignment="1">
      <alignment horizontal="center"/>
    </xf>
    <xf numFmtId="166" fontId="38" fillId="3" borderId="49" xfId="0" applyNumberFormat="1" applyFont="1" applyFill="1" applyBorder="1" applyAlignment="1">
      <alignment horizontal="center"/>
    </xf>
    <xf numFmtId="0" fontId="5" fillId="0" borderId="0" xfId="0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29</xdr:row>
      <xdr:rowOff>0</xdr:rowOff>
    </xdr:from>
    <xdr:to>
      <xdr:col>54</xdr:col>
      <xdr:colOff>0</xdr:colOff>
      <xdr:row>30</xdr:row>
      <xdr:rowOff>28575</xdr:rowOff>
    </xdr:to>
    <xdr:sp macro="" textlink="">
      <xdr:nvSpPr>
        <xdr:cNvPr id="2996" name="Arc 9">
          <a:extLst>
            <a:ext uri="{FF2B5EF4-FFF2-40B4-BE49-F238E27FC236}">
              <a16:creationId xmlns:a16="http://schemas.microsoft.com/office/drawing/2014/main" id="{5B9CFFFA-D3AC-4169-A871-6E8488F41962}"/>
            </a:ext>
          </a:extLst>
        </xdr:cNvPr>
        <xdr:cNvSpPr>
          <a:spLocks/>
        </xdr:cNvSpPr>
      </xdr:nvSpPr>
      <xdr:spPr bwMode="auto">
        <a:xfrm flipH="1">
          <a:off x="28860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54</xdr:col>
      <xdr:colOff>0</xdr:colOff>
      <xdr:row>29</xdr:row>
      <xdr:rowOff>0</xdr:rowOff>
    </xdr:from>
    <xdr:to>
      <xdr:col>54</xdr:col>
      <xdr:colOff>0</xdr:colOff>
      <xdr:row>30</xdr:row>
      <xdr:rowOff>47625</xdr:rowOff>
    </xdr:to>
    <xdr:sp macro="" textlink="">
      <xdr:nvSpPr>
        <xdr:cNvPr id="2997" name="Arc 10">
          <a:extLst>
            <a:ext uri="{FF2B5EF4-FFF2-40B4-BE49-F238E27FC236}">
              <a16:creationId xmlns:a16="http://schemas.microsoft.com/office/drawing/2014/main" id="{75584B3F-07F1-4D45-BDD1-39D0D58A2D96}"/>
            </a:ext>
          </a:extLst>
        </xdr:cNvPr>
        <xdr:cNvSpPr>
          <a:spLocks/>
        </xdr:cNvSpPr>
      </xdr:nvSpPr>
      <xdr:spPr bwMode="auto">
        <a:xfrm>
          <a:off x="28860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54</xdr:col>
      <xdr:colOff>0</xdr:colOff>
      <xdr:row>29</xdr:row>
      <xdr:rowOff>28575</xdr:rowOff>
    </xdr:from>
    <xdr:to>
      <xdr:col>54</xdr:col>
      <xdr:colOff>0</xdr:colOff>
      <xdr:row>30</xdr:row>
      <xdr:rowOff>85725</xdr:rowOff>
    </xdr:to>
    <xdr:sp macro="" textlink="">
      <xdr:nvSpPr>
        <xdr:cNvPr id="2998" name="Arc 11">
          <a:extLst>
            <a:ext uri="{FF2B5EF4-FFF2-40B4-BE49-F238E27FC236}">
              <a16:creationId xmlns:a16="http://schemas.microsoft.com/office/drawing/2014/main" id="{362B1DC3-ECE4-4E87-9298-4D6326E2DC4C}"/>
            </a:ext>
          </a:extLst>
        </xdr:cNvPr>
        <xdr:cNvSpPr>
          <a:spLocks/>
        </xdr:cNvSpPr>
      </xdr:nvSpPr>
      <xdr:spPr bwMode="auto">
        <a:xfrm>
          <a:off x="28860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54</xdr:col>
      <xdr:colOff>0</xdr:colOff>
      <xdr:row>37</xdr:row>
      <xdr:rowOff>28575</xdr:rowOff>
    </xdr:from>
    <xdr:to>
      <xdr:col>54</xdr:col>
      <xdr:colOff>0</xdr:colOff>
      <xdr:row>37</xdr:row>
      <xdr:rowOff>85725</xdr:rowOff>
    </xdr:to>
    <xdr:sp macro="" textlink="">
      <xdr:nvSpPr>
        <xdr:cNvPr id="2999" name="Line 12">
          <a:extLst>
            <a:ext uri="{FF2B5EF4-FFF2-40B4-BE49-F238E27FC236}">
              <a16:creationId xmlns:a16="http://schemas.microsoft.com/office/drawing/2014/main" id="{DF44E655-8A01-4519-B41A-CCAD7E5564AB}"/>
            </a:ext>
          </a:extLst>
        </xdr:cNvPr>
        <xdr:cNvSpPr>
          <a:spLocks noChangeShapeType="1"/>
        </xdr:cNvSpPr>
      </xdr:nvSpPr>
      <xdr:spPr bwMode="auto">
        <a:xfrm flipH="1" flipV="1">
          <a:off x="288607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37</xdr:row>
      <xdr:rowOff>9525</xdr:rowOff>
    </xdr:from>
    <xdr:to>
      <xdr:col>54</xdr:col>
      <xdr:colOff>0</xdr:colOff>
      <xdr:row>37</xdr:row>
      <xdr:rowOff>76200</xdr:rowOff>
    </xdr:to>
    <xdr:sp macro="" textlink="">
      <xdr:nvSpPr>
        <xdr:cNvPr id="3000" name="Line 13">
          <a:extLst>
            <a:ext uri="{FF2B5EF4-FFF2-40B4-BE49-F238E27FC236}">
              <a16:creationId xmlns:a16="http://schemas.microsoft.com/office/drawing/2014/main" id="{02CF87BD-F54F-4C2D-9865-F4CEAC452AEF}"/>
            </a:ext>
          </a:extLst>
        </xdr:cNvPr>
        <xdr:cNvSpPr>
          <a:spLocks noChangeShapeType="1"/>
        </xdr:cNvSpPr>
      </xdr:nvSpPr>
      <xdr:spPr bwMode="auto">
        <a:xfrm flipV="1">
          <a:off x="288607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37</xdr:row>
      <xdr:rowOff>57150</xdr:rowOff>
    </xdr:from>
    <xdr:to>
      <xdr:col>54</xdr:col>
      <xdr:colOff>0</xdr:colOff>
      <xdr:row>37</xdr:row>
      <xdr:rowOff>57150</xdr:rowOff>
    </xdr:to>
    <xdr:sp macro="" textlink="">
      <xdr:nvSpPr>
        <xdr:cNvPr id="3001" name="Line 14">
          <a:extLst>
            <a:ext uri="{FF2B5EF4-FFF2-40B4-BE49-F238E27FC236}">
              <a16:creationId xmlns:a16="http://schemas.microsoft.com/office/drawing/2014/main" id="{C7059D51-E718-4713-904E-A8590C216C87}"/>
            </a:ext>
          </a:extLst>
        </xdr:cNvPr>
        <xdr:cNvSpPr>
          <a:spLocks noChangeShapeType="1"/>
        </xdr:cNvSpPr>
      </xdr:nvSpPr>
      <xdr:spPr bwMode="auto">
        <a:xfrm flipH="1">
          <a:off x="288607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29</xdr:row>
      <xdr:rowOff>152400</xdr:rowOff>
    </xdr:from>
    <xdr:to>
      <xdr:col>54</xdr:col>
      <xdr:colOff>0</xdr:colOff>
      <xdr:row>30</xdr:row>
      <xdr:rowOff>66675</xdr:rowOff>
    </xdr:to>
    <xdr:sp macro="" textlink="">
      <xdr:nvSpPr>
        <xdr:cNvPr id="3002" name="Line 15">
          <a:extLst>
            <a:ext uri="{FF2B5EF4-FFF2-40B4-BE49-F238E27FC236}">
              <a16:creationId xmlns:a16="http://schemas.microsoft.com/office/drawing/2014/main" id="{0DB9AC38-E1AB-4878-A7E9-901841B0A9E4}"/>
            </a:ext>
          </a:extLst>
        </xdr:cNvPr>
        <xdr:cNvSpPr>
          <a:spLocks noChangeShapeType="1"/>
        </xdr:cNvSpPr>
      </xdr:nvSpPr>
      <xdr:spPr bwMode="auto">
        <a:xfrm flipV="1">
          <a:off x="28860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30</xdr:row>
      <xdr:rowOff>0</xdr:rowOff>
    </xdr:from>
    <xdr:to>
      <xdr:col>54</xdr:col>
      <xdr:colOff>0</xdr:colOff>
      <xdr:row>31</xdr:row>
      <xdr:rowOff>28575</xdr:rowOff>
    </xdr:to>
    <xdr:sp macro="" textlink="">
      <xdr:nvSpPr>
        <xdr:cNvPr id="3003" name="Arc 17">
          <a:extLst>
            <a:ext uri="{FF2B5EF4-FFF2-40B4-BE49-F238E27FC236}">
              <a16:creationId xmlns:a16="http://schemas.microsoft.com/office/drawing/2014/main" id="{EFE918B5-B86F-42E1-82A7-A94FECAD641A}"/>
            </a:ext>
          </a:extLst>
        </xdr:cNvPr>
        <xdr:cNvSpPr>
          <a:spLocks/>
        </xdr:cNvSpPr>
      </xdr:nvSpPr>
      <xdr:spPr bwMode="auto">
        <a:xfrm flipH="1">
          <a:off x="28860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54</xdr:col>
      <xdr:colOff>0</xdr:colOff>
      <xdr:row>30</xdr:row>
      <xdr:rowOff>0</xdr:rowOff>
    </xdr:from>
    <xdr:to>
      <xdr:col>54</xdr:col>
      <xdr:colOff>0</xdr:colOff>
      <xdr:row>31</xdr:row>
      <xdr:rowOff>47625</xdr:rowOff>
    </xdr:to>
    <xdr:sp macro="" textlink="">
      <xdr:nvSpPr>
        <xdr:cNvPr id="3004" name="Arc 18">
          <a:extLst>
            <a:ext uri="{FF2B5EF4-FFF2-40B4-BE49-F238E27FC236}">
              <a16:creationId xmlns:a16="http://schemas.microsoft.com/office/drawing/2014/main" id="{7ADB20B9-DAC9-4E67-BFF1-487D38061C6F}"/>
            </a:ext>
          </a:extLst>
        </xdr:cNvPr>
        <xdr:cNvSpPr>
          <a:spLocks/>
        </xdr:cNvSpPr>
      </xdr:nvSpPr>
      <xdr:spPr bwMode="auto">
        <a:xfrm>
          <a:off x="28860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54</xdr:col>
      <xdr:colOff>0</xdr:colOff>
      <xdr:row>30</xdr:row>
      <xdr:rowOff>28575</xdr:rowOff>
    </xdr:from>
    <xdr:to>
      <xdr:col>54</xdr:col>
      <xdr:colOff>0</xdr:colOff>
      <xdr:row>31</xdr:row>
      <xdr:rowOff>85725</xdr:rowOff>
    </xdr:to>
    <xdr:sp macro="" textlink="">
      <xdr:nvSpPr>
        <xdr:cNvPr id="3005" name="Arc 19">
          <a:extLst>
            <a:ext uri="{FF2B5EF4-FFF2-40B4-BE49-F238E27FC236}">
              <a16:creationId xmlns:a16="http://schemas.microsoft.com/office/drawing/2014/main" id="{23EFE05F-B3CE-474E-B0DC-5A3C88C72DDF}"/>
            </a:ext>
          </a:extLst>
        </xdr:cNvPr>
        <xdr:cNvSpPr>
          <a:spLocks/>
        </xdr:cNvSpPr>
      </xdr:nvSpPr>
      <xdr:spPr bwMode="auto">
        <a:xfrm>
          <a:off x="28860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54</xdr:col>
      <xdr:colOff>0</xdr:colOff>
      <xdr:row>38</xdr:row>
      <xdr:rowOff>28575</xdr:rowOff>
    </xdr:from>
    <xdr:to>
      <xdr:col>54</xdr:col>
      <xdr:colOff>0</xdr:colOff>
      <xdr:row>38</xdr:row>
      <xdr:rowOff>85725</xdr:rowOff>
    </xdr:to>
    <xdr:sp macro="" textlink="">
      <xdr:nvSpPr>
        <xdr:cNvPr id="3006" name="Line 20">
          <a:extLst>
            <a:ext uri="{FF2B5EF4-FFF2-40B4-BE49-F238E27FC236}">
              <a16:creationId xmlns:a16="http://schemas.microsoft.com/office/drawing/2014/main" id="{36E3FF20-44F5-4DD3-A758-72E1C11F4F38}"/>
            </a:ext>
          </a:extLst>
        </xdr:cNvPr>
        <xdr:cNvSpPr>
          <a:spLocks noChangeShapeType="1"/>
        </xdr:cNvSpPr>
      </xdr:nvSpPr>
      <xdr:spPr bwMode="auto">
        <a:xfrm flipH="1" flipV="1">
          <a:off x="288607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38</xdr:row>
      <xdr:rowOff>9525</xdr:rowOff>
    </xdr:from>
    <xdr:to>
      <xdr:col>54</xdr:col>
      <xdr:colOff>0</xdr:colOff>
      <xdr:row>38</xdr:row>
      <xdr:rowOff>76200</xdr:rowOff>
    </xdr:to>
    <xdr:sp macro="" textlink="">
      <xdr:nvSpPr>
        <xdr:cNvPr id="3007" name="Line 21">
          <a:extLst>
            <a:ext uri="{FF2B5EF4-FFF2-40B4-BE49-F238E27FC236}">
              <a16:creationId xmlns:a16="http://schemas.microsoft.com/office/drawing/2014/main" id="{4C20ACF8-4F59-4C43-A41F-564259998A3C}"/>
            </a:ext>
          </a:extLst>
        </xdr:cNvPr>
        <xdr:cNvSpPr>
          <a:spLocks noChangeShapeType="1"/>
        </xdr:cNvSpPr>
      </xdr:nvSpPr>
      <xdr:spPr bwMode="auto">
        <a:xfrm flipV="1">
          <a:off x="288607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38</xdr:row>
      <xdr:rowOff>57150</xdr:rowOff>
    </xdr:from>
    <xdr:to>
      <xdr:col>54</xdr:col>
      <xdr:colOff>0</xdr:colOff>
      <xdr:row>38</xdr:row>
      <xdr:rowOff>57150</xdr:rowOff>
    </xdr:to>
    <xdr:sp macro="" textlink="">
      <xdr:nvSpPr>
        <xdr:cNvPr id="3008" name="Line 22">
          <a:extLst>
            <a:ext uri="{FF2B5EF4-FFF2-40B4-BE49-F238E27FC236}">
              <a16:creationId xmlns:a16="http://schemas.microsoft.com/office/drawing/2014/main" id="{644FFDA9-2926-4B41-A506-55FED82D658D}"/>
            </a:ext>
          </a:extLst>
        </xdr:cNvPr>
        <xdr:cNvSpPr>
          <a:spLocks noChangeShapeType="1"/>
        </xdr:cNvSpPr>
      </xdr:nvSpPr>
      <xdr:spPr bwMode="auto">
        <a:xfrm flipH="1">
          <a:off x="288607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30</xdr:row>
      <xdr:rowOff>152400</xdr:rowOff>
    </xdr:from>
    <xdr:to>
      <xdr:col>54</xdr:col>
      <xdr:colOff>0</xdr:colOff>
      <xdr:row>31</xdr:row>
      <xdr:rowOff>66675</xdr:rowOff>
    </xdr:to>
    <xdr:sp macro="" textlink="">
      <xdr:nvSpPr>
        <xdr:cNvPr id="3009" name="Line 23">
          <a:extLst>
            <a:ext uri="{FF2B5EF4-FFF2-40B4-BE49-F238E27FC236}">
              <a16:creationId xmlns:a16="http://schemas.microsoft.com/office/drawing/2014/main" id="{DECA4229-C156-41E6-BEE5-4998D9E20181}"/>
            </a:ext>
          </a:extLst>
        </xdr:cNvPr>
        <xdr:cNvSpPr>
          <a:spLocks noChangeShapeType="1"/>
        </xdr:cNvSpPr>
      </xdr:nvSpPr>
      <xdr:spPr bwMode="auto">
        <a:xfrm flipV="1">
          <a:off x="28860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3348" name="Arc 5">
          <a:extLst>
            <a:ext uri="{FF2B5EF4-FFF2-40B4-BE49-F238E27FC236}">
              <a16:creationId xmlns:a16="http://schemas.microsoft.com/office/drawing/2014/main" id="{DA521EDB-85BF-4797-8E66-EF06C78EE46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3349" name="Arc 6">
          <a:extLst>
            <a:ext uri="{FF2B5EF4-FFF2-40B4-BE49-F238E27FC236}">
              <a16:creationId xmlns:a16="http://schemas.microsoft.com/office/drawing/2014/main" id="{EE695EDB-C4D5-4E4A-B750-625480E30B5D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3350" name="Arc 8">
          <a:extLst>
            <a:ext uri="{FF2B5EF4-FFF2-40B4-BE49-F238E27FC236}">
              <a16:creationId xmlns:a16="http://schemas.microsoft.com/office/drawing/2014/main" id="{7FFBD681-2B2B-49D2-A9D6-FE379423D6A4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78</xdr:row>
      <xdr:rowOff>28575</xdr:rowOff>
    </xdr:from>
    <xdr:to>
      <xdr:col>18</xdr:col>
      <xdr:colOff>0</xdr:colOff>
      <xdr:row>78</xdr:row>
      <xdr:rowOff>85725</xdr:rowOff>
    </xdr:to>
    <xdr:sp macro="" textlink="">
      <xdr:nvSpPr>
        <xdr:cNvPr id="53351" name="Line 9">
          <a:extLst>
            <a:ext uri="{FF2B5EF4-FFF2-40B4-BE49-F238E27FC236}">
              <a16:creationId xmlns:a16="http://schemas.microsoft.com/office/drawing/2014/main" id="{2E9BEA1A-7CAD-43FF-B694-E7F3AE8ECFB1}"/>
            </a:ext>
          </a:extLst>
        </xdr:cNvPr>
        <xdr:cNvSpPr>
          <a:spLocks noChangeShapeType="1"/>
        </xdr:cNvSpPr>
      </xdr:nvSpPr>
      <xdr:spPr bwMode="auto">
        <a:xfrm flipH="1" flipV="1">
          <a:off x="2009775" y="70961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78</xdr:row>
      <xdr:rowOff>9525</xdr:rowOff>
    </xdr:from>
    <xdr:to>
      <xdr:col>18</xdr:col>
      <xdr:colOff>0</xdr:colOff>
      <xdr:row>78</xdr:row>
      <xdr:rowOff>76200</xdr:rowOff>
    </xdr:to>
    <xdr:sp macro="" textlink="">
      <xdr:nvSpPr>
        <xdr:cNvPr id="53352" name="Line 10">
          <a:extLst>
            <a:ext uri="{FF2B5EF4-FFF2-40B4-BE49-F238E27FC236}">
              <a16:creationId xmlns:a16="http://schemas.microsoft.com/office/drawing/2014/main" id="{2D5DD878-373D-47E8-8A00-4867AB8A02A9}"/>
            </a:ext>
          </a:extLst>
        </xdr:cNvPr>
        <xdr:cNvSpPr>
          <a:spLocks noChangeShapeType="1"/>
        </xdr:cNvSpPr>
      </xdr:nvSpPr>
      <xdr:spPr bwMode="auto">
        <a:xfrm flipV="1">
          <a:off x="2009775" y="70770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78</xdr:row>
      <xdr:rowOff>57150</xdr:rowOff>
    </xdr:from>
    <xdr:to>
      <xdr:col>18</xdr:col>
      <xdr:colOff>0</xdr:colOff>
      <xdr:row>78</xdr:row>
      <xdr:rowOff>57150</xdr:rowOff>
    </xdr:to>
    <xdr:sp macro="" textlink="">
      <xdr:nvSpPr>
        <xdr:cNvPr id="53353" name="Line 12">
          <a:extLst>
            <a:ext uri="{FF2B5EF4-FFF2-40B4-BE49-F238E27FC236}">
              <a16:creationId xmlns:a16="http://schemas.microsoft.com/office/drawing/2014/main" id="{42FC2EDF-EB68-4847-AE71-D659E54B5431}"/>
            </a:ext>
          </a:extLst>
        </xdr:cNvPr>
        <xdr:cNvSpPr>
          <a:spLocks noChangeShapeType="1"/>
        </xdr:cNvSpPr>
      </xdr:nvSpPr>
      <xdr:spPr bwMode="auto">
        <a:xfrm flipH="1">
          <a:off x="2009775" y="71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3354" name="Line 14">
          <a:extLst>
            <a:ext uri="{FF2B5EF4-FFF2-40B4-BE49-F238E27FC236}">
              <a16:creationId xmlns:a16="http://schemas.microsoft.com/office/drawing/2014/main" id="{90FA1171-DFAC-4AC3-99B5-8A0EE884B8AB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28575</xdr:rowOff>
    </xdr:to>
    <xdr:sp macro="" textlink="">
      <xdr:nvSpPr>
        <xdr:cNvPr id="53355" name="Arc 16">
          <a:extLst>
            <a:ext uri="{FF2B5EF4-FFF2-40B4-BE49-F238E27FC236}">
              <a16:creationId xmlns:a16="http://schemas.microsoft.com/office/drawing/2014/main" id="{FF77F8F5-7B2D-49E3-9CD0-411858EEB82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47625</xdr:rowOff>
    </xdr:to>
    <xdr:sp macro="" textlink="">
      <xdr:nvSpPr>
        <xdr:cNvPr id="53356" name="Arc 17">
          <a:extLst>
            <a:ext uri="{FF2B5EF4-FFF2-40B4-BE49-F238E27FC236}">
              <a16:creationId xmlns:a16="http://schemas.microsoft.com/office/drawing/2014/main" id="{CA0CEEBC-E44F-43E3-A5ED-0BFE3A038B8A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28575</xdr:rowOff>
    </xdr:from>
    <xdr:to>
      <xdr:col>21</xdr:col>
      <xdr:colOff>0</xdr:colOff>
      <xdr:row>30</xdr:row>
      <xdr:rowOff>85725</xdr:rowOff>
    </xdr:to>
    <xdr:sp macro="" textlink="">
      <xdr:nvSpPr>
        <xdr:cNvPr id="53357" name="Arc 18">
          <a:extLst>
            <a:ext uri="{FF2B5EF4-FFF2-40B4-BE49-F238E27FC236}">
              <a16:creationId xmlns:a16="http://schemas.microsoft.com/office/drawing/2014/main" id="{5E3CCC45-0BC9-4472-B303-341D9DA46E85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88</xdr:row>
      <xdr:rowOff>28575</xdr:rowOff>
    </xdr:from>
    <xdr:to>
      <xdr:col>21</xdr:col>
      <xdr:colOff>0</xdr:colOff>
      <xdr:row>88</xdr:row>
      <xdr:rowOff>85725</xdr:rowOff>
    </xdr:to>
    <xdr:sp macro="" textlink="">
      <xdr:nvSpPr>
        <xdr:cNvPr id="53358" name="Line 19">
          <a:extLst>
            <a:ext uri="{FF2B5EF4-FFF2-40B4-BE49-F238E27FC236}">
              <a16:creationId xmlns:a16="http://schemas.microsoft.com/office/drawing/2014/main" id="{21FD8A64-401F-4FBA-9377-968B7BFD4C7F}"/>
            </a:ext>
          </a:extLst>
        </xdr:cNvPr>
        <xdr:cNvSpPr>
          <a:spLocks noChangeShapeType="1"/>
        </xdr:cNvSpPr>
      </xdr:nvSpPr>
      <xdr:spPr bwMode="auto">
        <a:xfrm flipH="1" flipV="1">
          <a:off x="2009775" y="77438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88</xdr:row>
      <xdr:rowOff>9525</xdr:rowOff>
    </xdr:from>
    <xdr:to>
      <xdr:col>21</xdr:col>
      <xdr:colOff>0</xdr:colOff>
      <xdr:row>88</xdr:row>
      <xdr:rowOff>76200</xdr:rowOff>
    </xdr:to>
    <xdr:sp macro="" textlink="">
      <xdr:nvSpPr>
        <xdr:cNvPr id="53359" name="Line 20">
          <a:extLst>
            <a:ext uri="{FF2B5EF4-FFF2-40B4-BE49-F238E27FC236}">
              <a16:creationId xmlns:a16="http://schemas.microsoft.com/office/drawing/2014/main" id="{982FD7F3-18B6-4051-BAAA-AD6C51EFFDCD}"/>
            </a:ext>
          </a:extLst>
        </xdr:cNvPr>
        <xdr:cNvSpPr>
          <a:spLocks noChangeShapeType="1"/>
        </xdr:cNvSpPr>
      </xdr:nvSpPr>
      <xdr:spPr bwMode="auto">
        <a:xfrm flipV="1">
          <a:off x="2009775" y="77247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88</xdr:row>
      <xdr:rowOff>57150</xdr:rowOff>
    </xdr:from>
    <xdr:to>
      <xdr:col>21</xdr:col>
      <xdr:colOff>0</xdr:colOff>
      <xdr:row>88</xdr:row>
      <xdr:rowOff>57150</xdr:rowOff>
    </xdr:to>
    <xdr:sp macro="" textlink="">
      <xdr:nvSpPr>
        <xdr:cNvPr id="53360" name="Line 21">
          <a:extLst>
            <a:ext uri="{FF2B5EF4-FFF2-40B4-BE49-F238E27FC236}">
              <a16:creationId xmlns:a16="http://schemas.microsoft.com/office/drawing/2014/main" id="{36E8ED98-2C3F-419C-AD8B-A5EA7D44F00B}"/>
            </a:ext>
          </a:extLst>
        </xdr:cNvPr>
        <xdr:cNvSpPr>
          <a:spLocks noChangeShapeType="1"/>
        </xdr:cNvSpPr>
      </xdr:nvSpPr>
      <xdr:spPr bwMode="auto">
        <a:xfrm flipH="1">
          <a:off x="2009775" y="777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152400</xdr:rowOff>
    </xdr:from>
    <xdr:to>
      <xdr:col>21</xdr:col>
      <xdr:colOff>0</xdr:colOff>
      <xdr:row>30</xdr:row>
      <xdr:rowOff>66675</xdr:rowOff>
    </xdr:to>
    <xdr:sp macro="" textlink="">
      <xdr:nvSpPr>
        <xdr:cNvPr id="53361" name="Line 22">
          <a:extLst>
            <a:ext uri="{FF2B5EF4-FFF2-40B4-BE49-F238E27FC236}">
              <a16:creationId xmlns:a16="http://schemas.microsoft.com/office/drawing/2014/main" id="{F06BA695-C51C-4227-9F73-21C7864A0203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44</xdr:row>
      <xdr:rowOff>81915</xdr:rowOff>
    </xdr:from>
    <xdr:ext cx="1863139" cy="282770"/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EFC9933A-3529-42B5-A9D9-A41E1AF0594A}"/>
            </a:ext>
          </a:extLst>
        </xdr:cNvPr>
        <xdr:cNvSpPr txBox="1">
          <a:spLocks noChangeArrowheads="1"/>
        </xdr:cNvSpPr>
      </xdr:nvSpPr>
      <xdr:spPr bwMode="auto">
        <a:xfrm>
          <a:off x="1114425" y="7959090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28575</xdr:rowOff>
    </xdr:to>
    <xdr:sp macro="" textlink="">
      <xdr:nvSpPr>
        <xdr:cNvPr id="53363" name="Arc 24">
          <a:extLst>
            <a:ext uri="{FF2B5EF4-FFF2-40B4-BE49-F238E27FC236}">
              <a16:creationId xmlns:a16="http://schemas.microsoft.com/office/drawing/2014/main" id="{A4728E2E-5159-42DE-8C10-6752E1D46681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47625</xdr:rowOff>
    </xdr:to>
    <xdr:sp macro="" textlink="">
      <xdr:nvSpPr>
        <xdr:cNvPr id="53364" name="Arc 25">
          <a:extLst>
            <a:ext uri="{FF2B5EF4-FFF2-40B4-BE49-F238E27FC236}">
              <a16:creationId xmlns:a16="http://schemas.microsoft.com/office/drawing/2014/main" id="{781FAE0F-FC3B-4EC5-90D6-F1337D436C53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28575</xdr:rowOff>
    </xdr:from>
    <xdr:to>
      <xdr:col>23</xdr:col>
      <xdr:colOff>0</xdr:colOff>
      <xdr:row>30</xdr:row>
      <xdr:rowOff>85725</xdr:rowOff>
    </xdr:to>
    <xdr:sp macro="" textlink="">
      <xdr:nvSpPr>
        <xdr:cNvPr id="53365" name="Arc 26">
          <a:extLst>
            <a:ext uri="{FF2B5EF4-FFF2-40B4-BE49-F238E27FC236}">
              <a16:creationId xmlns:a16="http://schemas.microsoft.com/office/drawing/2014/main" id="{096ABD26-86E1-4B28-9B09-421EA4140BE1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28575</xdr:rowOff>
    </xdr:from>
    <xdr:to>
      <xdr:col>23</xdr:col>
      <xdr:colOff>0</xdr:colOff>
      <xdr:row>78</xdr:row>
      <xdr:rowOff>85725</xdr:rowOff>
    </xdr:to>
    <xdr:sp macro="" textlink="">
      <xdr:nvSpPr>
        <xdr:cNvPr id="53366" name="Line 27">
          <a:extLst>
            <a:ext uri="{FF2B5EF4-FFF2-40B4-BE49-F238E27FC236}">
              <a16:creationId xmlns:a16="http://schemas.microsoft.com/office/drawing/2014/main" id="{870C194A-BE69-4401-9210-1AF1D14A7C8B}"/>
            </a:ext>
          </a:extLst>
        </xdr:cNvPr>
        <xdr:cNvSpPr>
          <a:spLocks noChangeShapeType="1"/>
        </xdr:cNvSpPr>
      </xdr:nvSpPr>
      <xdr:spPr bwMode="auto">
        <a:xfrm flipH="1" flipV="1">
          <a:off x="2009775" y="70961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9525</xdr:rowOff>
    </xdr:from>
    <xdr:to>
      <xdr:col>23</xdr:col>
      <xdr:colOff>0</xdr:colOff>
      <xdr:row>78</xdr:row>
      <xdr:rowOff>76200</xdr:rowOff>
    </xdr:to>
    <xdr:sp macro="" textlink="">
      <xdr:nvSpPr>
        <xdr:cNvPr id="53367" name="Line 28">
          <a:extLst>
            <a:ext uri="{FF2B5EF4-FFF2-40B4-BE49-F238E27FC236}">
              <a16:creationId xmlns:a16="http://schemas.microsoft.com/office/drawing/2014/main" id="{6778912E-C273-439E-B748-A299AB59E207}"/>
            </a:ext>
          </a:extLst>
        </xdr:cNvPr>
        <xdr:cNvSpPr>
          <a:spLocks noChangeShapeType="1"/>
        </xdr:cNvSpPr>
      </xdr:nvSpPr>
      <xdr:spPr bwMode="auto">
        <a:xfrm flipV="1">
          <a:off x="2009775" y="70770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57150</xdr:rowOff>
    </xdr:from>
    <xdr:to>
      <xdr:col>23</xdr:col>
      <xdr:colOff>0</xdr:colOff>
      <xdr:row>78</xdr:row>
      <xdr:rowOff>57150</xdr:rowOff>
    </xdr:to>
    <xdr:sp macro="" textlink="">
      <xdr:nvSpPr>
        <xdr:cNvPr id="53368" name="Line 29">
          <a:extLst>
            <a:ext uri="{FF2B5EF4-FFF2-40B4-BE49-F238E27FC236}">
              <a16:creationId xmlns:a16="http://schemas.microsoft.com/office/drawing/2014/main" id="{9D0F9FE7-A9B0-466D-8A3B-0093290EFE0A}"/>
            </a:ext>
          </a:extLst>
        </xdr:cNvPr>
        <xdr:cNvSpPr>
          <a:spLocks noChangeShapeType="1"/>
        </xdr:cNvSpPr>
      </xdr:nvSpPr>
      <xdr:spPr bwMode="auto">
        <a:xfrm flipH="1">
          <a:off x="2009775" y="71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152400</xdr:rowOff>
    </xdr:from>
    <xdr:to>
      <xdr:col>23</xdr:col>
      <xdr:colOff>0</xdr:colOff>
      <xdr:row>30</xdr:row>
      <xdr:rowOff>66675</xdr:rowOff>
    </xdr:to>
    <xdr:sp macro="" textlink="">
      <xdr:nvSpPr>
        <xdr:cNvPr id="53369" name="Line 30">
          <a:extLst>
            <a:ext uri="{FF2B5EF4-FFF2-40B4-BE49-F238E27FC236}">
              <a16:creationId xmlns:a16="http://schemas.microsoft.com/office/drawing/2014/main" id="{F67E158D-80ED-4FE3-BC55-0DC582D45DB3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0</xdr:colOff>
      <xdr:row>30</xdr:row>
      <xdr:rowOff>28575</xdr:rowOff>
    </xdr:to>
    <xdr:sp macro="" textlink="">
      <xdr:nvSpPr>
        <xdr:cNvPr id="53370" name="Arc 38">
          <a:extLst>
            <a:ext uri="{FF2B5EF4-FFF2-40B4-BE49-F238E27FC236}">
              <a16:creationId xmlns:a16="http://schemas.microsoft.com/office/drawing/2014/main" id="{A0E72FED-1509-4BE7-AA31-26349C7C1B2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0</xdr:colOff>
      <xdr:row>30</xdr:row>
      <xdr:rowOff>47625</xdr:rowOff>
    </xdr:to>
    <xdr:sp macro="" textlink="">
      <xdr:nvSpPr>
        <xdr:cNvPr id="53371" name="Arc 39">
          <a:extLst>
            <a:ext uri="{FF2B5EF4-FFF2-40B4-BE49-F238E27FC236}">
              <a16:creationId xmlns:a16="http://schemas.microsoft.com/office/drawing/2014/main" id="{C1936E8A-3B96-4B5B-B05C-B4C28A075228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28575</xdr:rowOff>
    </xdr:from>
    <xdr:to>
      <xdr:col>25</xdr:col>
      <xdr:colOff>0</xdr:colOff>
      <xdr:row>30</xdr:row>
      <xdr:rowOff>85725</xdr:rowOff>
    </xdr:to>
    <xdr:sp macro="" textlink="">
      <xdr:nvSpPr>
        <xdr:cNvPr id="53372" name="Arc 40">
          <a:extLst>
            <a:ext uri="{FF2B5EF4-FFF2-40B4-BE49-F238E27FC236}">
              <a16:creationId xmlns:a16="http://schemas.microsoft.com/office/drawing/2014/main" id="{1B865D73-FD2E-4D21-A551-FBC8B18EB83C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34</xdr:row>
      <xdr:rowOff>28575</xdr:rowOff>
    </xdr:from>
    <xdr:to>
      <xdr:col>25</xdr:col>
      <xdr:colOff>0</xdr:colOff>
      <xdr:row>34</xdr:row>
      <xdr:rowOff>85725</xdr:rowOff>
    </xdr:to>
    <xdr:sp macro="" textlink="">
      <xdr:nvSpPr>
        <xdr:cNvPr id="53373" name="Line 41">
          <a:extLst>
            <a:ext uri="{FF2B5EF4-FFF2-40B4-BE49-F238E27FC236}">
              <a16:creationId xmlns:a16="http://schemas.microsoft.com/office/drawing/2014/main" id="{8019E9C4-B2AF-431D-AA54-8968B79282EC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38969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34</xdr:row>
      <xdr:rowOff>9525</xdr:rowOff>
    </xdr:from>
    <xdr:to>
      <xdr:col>25</xdr:col>
      <xdr:colOff>0</xdr:colOff>
      <xdr:row>34</xdr:row>
      <xdr:rowOff>76200</xdr:rowOff>
    </xdr:to>
    <xdr:sp macro="" textlink="">
      <xdr:nvSpPr>
        <xdr:cNvPr id="53374" name="Line 42">
          <a:extLst>
            <a:ext uri="{FF2B5EF4-FFF2-40B4-BE49-F238E27FC236}">
              <a16:creationId xmlns:a16="http://schemas.microsoft.com/office/drawing/2014/main" id="{12FE96F5-010F-41C9-92D9-3C2242918EF0}"/>
            </a:ext>
          </a:extLst>
        </xdr:cNvPr>
        <xdr:cNvSpPr>
          <a:spLocks noChangeShapeType="1"/>
        </xdr:cNvSpPr>
      </xdr:nvSpPr>
      <xdr:spPr bwMode="auto">
        <a:xfrm flipV="1">
          <a:off x="2009775" y="138779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34</xdr:row>
      <xdr:rowOff>57150</xdr:rowOff>
    </xdr:from>
    <xdr:to>
      <xdr:col>25</xdr:col>
      <xdr:colOff>0</xdr:colOff>
      <xdr:row>34</xdr:row>
      <xdr:rowOff>57150</xdr:rowOff>
    </xdr:to>
    <xdr:sp macro="" textlink="">
      <xdr:nvSpPr>
        <xdr:cNvPr id="53375" name="Line 43">
          <a:extLst>
            <a:ext uri="{FF2B5EF4-FFF2-40B4-BE49-F238E27FC236}">
              <a16:creationId xmlns:a16="http://schemas.microsoft.com/office/drawing/2014/main" id="{B997297E-C9B7-4896-BF98-F401BEAD6612}"/>
            </a:ext>
          </a:extLst>
        </xdr:cNvPr>
        <xdr:cNvSpPr>
          <a:spLocks noChangeShapeType="1"/>
        </xdr:cNvSpPr>
      </xdr:nvSpPr>
      <xdr:spPr bwMode="auto">
        <a:xfrm flipH="1">
          <a:off x="2009775" y="13925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152400</xdr:rowOff>
    </xdr:from>
    <xdr:to>
      <xdr:col>25</xdr:col>
      <xdr:colOff>0</xdr:colOff>
      <xdr:row>30</xdr:row>
      <xdr:rowOff>66675</xdr:rowOff>
    </xdr:to>
    <xdr:sp macro="" textlink="">
      <xdr:nvSpPr>
        <xdr:cNvPr id="53376" name="Line 44">
          <a:extLst>
            <a:ext uri="{FF2B5EF4-FFF2-40B4-BE49-F238E27FC236}">
              <a16:creationId xmlns:a16="http://schemas.microsoft.com/office/drawing/2014/main" id="{5DCA7B00-B31F-4A1C-9C45-E65CEE01EF76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0</xdr:colOff>
      <xdr:row>30</xdr:row>
      <xdr:rowOff>28575</xdr:rowOff>
    </xdr:to>
    <xdr:sp macro="" textlink="">
      <xdr:nvSpPr>
        <xdr:cNvPr id="53377" name="Arc 45">
          <a:extLst>
            <a:ext uri="{FF2B5EF4-FFF2-40B4-BE49-F238E27FC236}">
              <a16:creationId xmlns:a16="http://schemas.microsoft.com/office/drawing/2014/main" id="{EE8CF177-0D78-4177-AF93-1F10531B833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0</xdr:colOff>
      <xdr:row>30</xdr:row>
      <xdr:rowOff>47625</xdr:rowOff>
    </xdr:to>
    <xdr:sp macro="" textlink="">
      <xdr:nvSpPr>
        <xdr:cNvPr id="53378" name="Arc 46">
          <a:extLst>
            <a:ext uri="{FF2B5EF4-FFF2-40B4-BE49-F238E27FC236}">
              <a16:creationId xmlns:a16="http://schemas.microsoft.com/office/drawing/2014/main" id="{C21E0E56-8121-4624-A24D-91B1E3B81FE6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28575</xdr:rowOff>
    </xdr:from>
    <xdr:to>
      <xdr:col>27</xdr:col>
      <xdr:colOff>0</xdr:colOff>
      <xdr:row>30</xdr:row>
      <xdr:rowOff>85725</xdr:rowOff>
    </xdr:to>
    <xdr:sp macro="" textlink="">
      <xdr:nvSpPr>
        <xdr:cNvPr id="53379" name="Arc 47">
          <a:extLst>
            <a:ext uri="{FF2B5EF4-FFF2-40B4-BE49-F238E27FC236}">
              <a16:creationId xmlns:a16="http://schemas.microsoft.com/office/drawing/2014/main" id="{28047C19-0398-4243-A9EC-CB7FACC6265A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33</xdr:row>
      <xdr:rowOff>28575</xdr:rowOff>
    </xdr:from>
    <xdr:to>
      <xdr:col>27</xdr:col>
      <xdr:colOff>0</xdr:colOff>
      <xdr:row>33</xdr:row>
      <xdr:rowOff>85725</xdr:rowOff>
    </xdr:to>
    <xdr:sp macro="" textlink="">
      <xdr:nvSpPr>
        <xdr:cNvPr id="53380" name="Line 48">
          <a:extLst>
            <a:ext uri="{FF2B5EF4-FFF2-40B4-BE49-F238E27FC236}">
              <a16:creationId xmlns:a16="http://schemas.microsoft.com/office/drawing/2014/main" id="{57F09AC9-C31C-46EC-A628-B6B0679FABB1}"/>
            </a:ext>
          </a:extLst>
        </xdr:cNvPr>
        <xdr:cNvSpPr>
          <a:spLocks noChangeShapeType="1"/>
        </xdr:cNvSpPr>
      </xdr:nvSpPr>
      <xdr:spPr bwMode="auto">
        <a:xfrm flipH="1" flipV="1">
          <a:off x="2009775" y="98488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33</xdr:row>
      <xdr:rowOff>9525</xdr:rowOff>
    </xdr:from>
    <xdr:to>
      <xdr:col>27</xdr:col>
      <xdr:colOff>0</xdr:colOff>
      <xdr:row>33</xdr:row>
      <xdr:rowOff>76200</xdr:rowOff>
    </xdr:to>
    <xdr:sp macro="" textlink="">
      <xdr:nvSpPr>
        <xdr:cNvPr id="53381" name="Line 49">
          <a:extLst>
            <a:ext uri="{FF2B5EF4-FFF2-40B4-BE49-F238E27FC236}">
              <a16:creationId xmlns:a16="http://schemas.microsoft.com/office/drawing/2014/main" id="{39A36446-DFED-4618-916A-44BB90D05B71}"/>
            </a:ext>
          </a:extLst>
        </xdr:cNvPr>
        <xdr:cNvSpPr>
          <a:spLocks noChangeShapeType="1"/>
        </xdr:cNvSpPr>
      </xdr:nvSpPr>
      <xdr:spPr bwMode="auto">
        <a:xfrm flipV="1">
          <a:off x="2009775" y="98298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33</xdr:row>
      <xdr:rowOff>57150</xdr:rowOff>
    </xdr:from>
    <xdr:to>
      <xdr:col>27</xdr:col>
      <xdr:colOff>0</xdr:colOff>
      <xdr:row>33</xdr:row>
      <xdr:rowOff>57150</xdr:rowOff>
    </xdr:to>
    <xdr:sp macro="" textlink="">
      <xdr:nvSpPr>
        <xdr:cNvPr id="53382" name="Line 50">
          <a:extLst>
            <a:ext uri="{FF2B5EF4-FFF2-40B4-BE49-F238E27FC236}">
              <a16:creationId xmlns:a16="http://schemas.microsoft.com/office/drawing/2014/main" id="{26213B5E-1BD5-4E0A-BC90-5E8DBD352A94}"/>
            </a:ext>
          </a:extLst>
        </xdr:cNvPr>
        <xdr:cNvSpPr>
          <a:spLocks noChangeShapeType="1"/>
        </xdr:cNvSpPr>
      </xdr:nvSpPr>
      <xdr:spPr bwMode="auto">
        <a:xfrm flipH="1">
          <a:off x="2009775" y="9877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152400</xdr:rowOff>
    </xdr:from>
    <xdr:to>
      <xdr:col>27</xdr:col>
      <xdr:colOff>0</xdr:colOff>
      <xdr:row>30</xdr:row>
      <xdr:rowOff>66675</xdr:rowOff>
    </xdr:to>
    <xdr:sp macro="" textlink="">
      <xdr:nvSpPr>
        <xdr:cNvPr id="53383" name="Line 51">
          <a:extLst>
            <a:ext uri="{FF2B5EF4-FFF2-40B4-BE49-F238E27FC236}">
              <a16:creationId xmlns:a16="http://schemas.microsoft.com/office/drawing/2014/main" id="{12B97F9C-4A4D-4FFA-AA04-9362BDF10C41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0</xdr:colOff>
      <xdr:row>30</xdr:row>
      <xdr:rowOff>28575</xdr:rowOff>
    </xdr:to>
    <xdr:sp macro="" textlink="">
      <xdr:nvSpPr>
        <xdr:cNvPr id="53384" name="Arc 59">
          <a:extLst>
            <a:ext uri="{FF2B5EF4-FFF2-40B4-BE49-F238E27FC236}">
              <a16:creationId xmlns:a16="http://schemas.microsoft.com/office/drawing/2014/main" id="{470F5160-3A41-41EB-82EA-AE3B4FA8E173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0</xdr:colOff>
      <xdr:row>30</xdr:row>
      <xdr:rowOff>47625</xdr:rowOff>
    </xdr:to>
    <xdr:sp macro="" textlink="">
      <xdr:nvSpPr>
        <xdr:cNvPr id="53385" name="Arc 60">
          <a:extLst>
            <a:ext uri="{FF2B5EF4-FFF2-40B4-BE49-F238E27FC236}">
              <a16:creationId xmlns:a16="http://schemas.microsoft.com/office/drawing/2014/main" id="{3361FCC1-24EC-4C92-A982-B525A96ACCDE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28575</xdr:rowOff>
    </xdr:from>
    <xdr:to>
      <xdr:col>29</xdr:col>
      <xdr:colOff>0</xdr:colOff>
      <xdr:row>30</xdr:row>
      <xdr:rowOff>85725</xdr:rowOff>
    </xdr:to>
    <xdr:sp macro="" textlink="">
      <xdr:nvSpPr>
        <xdr:cNvPr id="53386" name="Arc 61">
          <a:extLst>
            <a:ext uri="{FF2B5EF4-FFF2-40B4-BE49-F238E27FC236}">
              <a16:creationId xmlns:a16="http://schemas.microsoft.com/office/drawing/2014/main" id="{3E2BB497-E48E-494D-9791-D53A6EC52EE7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91</xdr:row>
      <xdr:rowOff>28575</xdr:rowOff>
    </xdr:from>
    <xdr:to>
      <xdr:col>29</xdr:col>
      <xdr:colOff>0</xdr:colOff>
      <xdr:row>91</xdr:row>
      <xdr:rowOff>85725</xdr:rowOff>
    </xdr:to>
    <xdr:sp macro="" textlink="">
      <xdr:nvSpPr>
        <xdr:cNvPr id="53387" name="Line 62">
          <a:extLst>
            <a:ext uri="{FF2B5EF4-FFF2-40B4-BE49-F238E27FC236}">
              <a16:creationId xmlns:a16="http://schemas.microsoft.com/office/drawing/2014/main" id="{8821F789-4618-4932-A428-E8CED749AF06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2925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91</xdr:row>
      <xdr:rowOff>9525</xdr:rowOff>
    </xdr:from>
    <xdr:to>
      <xdr:col>29</xdr:col>
      <xdr:colOff>0</xdr:colOff>
      <xdr:row>91</xdr:row>
      <xdr:rowOff>76200</xdr:rowOff>
    </xdr:to>
    <xdr:sp macro="" textlink="">
      <xdr:nvSpPr>
        <xdr:cNvPr id="53388" name="Line 63">
          <a:extLst>
            <a:ext uri="{FF2B5EF4-FFF2-40B4-BE49-F238E27FC236}">
              <a16:creationId xmlns:a16="http://schemas.microsoft.com/office/drawing/2014/main" id="{857185E4-E41C-47AB-B87A-696773F57C80}"/>
            </a:ext>
          </a:extLst>
        </xdr:cNvPr>
        <xdr:cNvSpPr>
          <a:spLocks noChangeShapeType="1"/>
        </xdr:cNvSpPr>
      </xdr:nvSpPr>
      <xdr:spPr bwMode="auto">
        <a:xfrm flipV="1">
          <a:off x="2009775" y="12906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91</xdr:row>
      <xdr:rowOff>57150</xdr:rowOff>
    </xdr:from>
    <xdr:to>
      <xdr:col>29</xdr:col>
      <xdr:colOff>0</xdr:colOff>
      <xdr:row>91</xdr:row>
      <xdr:rowOff>57150</xdr:rowOff>
    </xdr:to>
    <xdr:sp macro="" textlink="">
      <xdr:nvSpPr>
        <xdr:cNvPr id="53389" name="Line 64">
          <a:extLst>
            <a:ext uri="{FF2B5EF4-FFF2-40B4-BE49-F238E27FC236}">
              <a16:creationId xmlns:a16="http://schemas.microsoft.com/office/drawing/2014/main" id="{D014CDBF-CF54-449E-8086-8EB5A64DA2B5}"/>
            </a:ext>
          </a:extLst>
        </xdr:cNvPr>
        <xdr:cNvSpPr>
          <a:spLocks noChangeShapeType="1"/>
        </xdr:cNvSpPr>
      </xdr:nvSpPr>
      <xdr:spPr bwMode="auto">
        <a:xfrm flipH="1">
          <a:off x="2009775" y="1295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152400</xdr:rowOff>
    </xdr:from>
    <xdr:to>
      <xdr:col>29</xdr:col>
      <xdr:colOff>0</xdr:colOff>
      <xdr:row>30</xdr:row>
      <xdr:rowOff>66675</xdr:rowOff>
    </xdr:to>
    <xdr:sp macro="" textlink="">
      <xdr:nvSpPr>
        <xdr:cNvPr id="53390" name="Line 65">
          <a:extLst>
            <a:ext uri="{FF2B5EF4-FFF2-40B4-BE49-F238E27FC236}">
              <a16:creationId xmlns:a16="http://schemas.microsoft.com/office/drawing/2014/main" id="{2B518E04-6C43-4EE1-913B-92C9E9C32057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0</xdr:rowOff>
    </xdr:from>
    <xdr:to>
      <xdr:col>33</xdr:col>
      <xdr:colOff>0</xdr:colOff>
      <xdr:row>30</xdr:row>
      <xdr:rowOff>28575</xdr:rowOff>
    </xdr:to>
    <xdr:sp macro="" textlink="">
      <xdr:nvSpPr>
        <xdr:cNvPr id="53391" name="Arc 66">
          <a:extLst>
            <a:ext uri="{FF2B5EF4-FFF2-40B4-BE49-F238E27FC236}">
              <a16:creationId xmlns:a16="http://schemas.microsoft.com/office/drawing/2014/main" id="{081DD8EF-4797-4995-9AEC-5F5D01EA44B4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0</xdr:rowOff>
    </xdr:from>
    <xdr:to>
      <xdr:col>33</xdr:col>
      <xdr:colOff>0</xdr:colOff>
      <xdr:row>30</xdr:row>
      <xdr:rowOff>47625</xdr:rowOff>
    </xdr:to>
    <xdr:sp macro="" textlink="">
      <xdr:nvSpPr>
        <xdr:cNvPr id="53392" name="Arc 67">
          <a:extLst>
            <a:ext uri="{FF2B5EF4-FFF2-40B4-BE49-F238E27FC236}">
              <a16:creationId xmlns:a16="http://schemas.microsoft.com/office/drawing/2014/main" id="{04F82D31-091E-400B-866E-A44B0902E964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28575</xdr:rowOff>
    </xdr:from>
    <xdr:to>
      <xdr:col>33</xdr:col>
      <xdr:colOff>0</xdr:colOff>
      <xdr:row>30</xdr:row>
      <xdr:rowOff>85725</xdr:rowOff>
    </xdr:to>
    <xdr:sp macro="" textlink="">
      <xdr:nvSpPr>
        <xdr:cNvPr id="53393" name="Arc 68">
          <a:extLst>
            <a:ext uri="{FF2B5EF4-FFF2-40B4-BE49-F238E27FC236}">
              <a16:creationId xmlns:a16="http://schemas.microsoft.com/office/drawing/2014/main" id="{10132AFE-E2AA-4CFE-B43F-42907FF232C8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99</xdr:row>
      <xdr:rowOff>28575</xdr:rowOff>
    </xdr:from>
    <xdr:to>
      <xdr:col>33</xdr:col>
      <xdr:colOff>0</xdr:colOff>
      <xdr:row>99</xdr:row>
      <xdr:rowOff>85725</xdr:rowOff>
    </xdr:to>
    <xdr:sp macro="" textlink="">
      <xdr:nvSpPr>
        <xdr:cNvPr id="53394" name="Line 69">
          <a:extLst>
            <a:ext uri="{FF2B5EF4-FFF2-40B4-BE49-F238E27FC236}">
              <a16:creationId xmlns:a16="http://schemas.microsoft.com/office/drawing/2014/main" id="{A9F828B1-3913-4A3E-8751-84B7616AD762}"/>
            </a:ext>
          </a:extLst>
        </xdr:cNvPr>
        <xdr:cNvSpPr>
          <a:spLocks noChangeShapeType="1"/>
        </xdr:cNvSpPr>
      </xdr:nvSpPr>
      <xdr:spPr bwMode="auto">
        <a:xfrm flipH="1" flipV="1">
          <a:off x="2009775" y="43434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99</xdr:row>
      <xdr:rowOff>9525</xdr:rowOff>
    </xdr:from>
    <xdr:to>
      <xdr:col>33</xdr:col>
      <xdr:colOff>0</xdr:colOff>
      <xdr:row>99</xdr:row>
      <xdr:rowOff>76200</xdr:rowOff>
    </xdr:to>
    <xdr:sp macro="" textlink="">
      <xdr:nvSpPr>
        <xdr:cNvPr id="53395" name="Line 70">
          <a:extLst>
            <a:ext uri="{FF2B5EF4-FFF2-40B4-BE49-F238E27FC236}">
              <a16:creationId xmlns:a16="http://schemas.microsoft.com/office/drawing/2014/main" id="{D5EB292B-EEC2-411E-869E-6048C6346C42}"/>
            </a:ext>
          </a:extLst>
        </xdr:cNvPr>
        <xdr:cNvSpPr>
          <a:spLocks noChangeShapeType="1"/>
        </xdr:cNvSpPr>
      </xdr:nvSpPr>
      <xdr:spPr bwMode="auto">
        <a:xfrm flipV="1">
          <a:off x="2009775" y="43243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99</xdr:row>
      <xdr:rowOff>57150</xdr:rowOff>
    </xdr:from>
    <xdr:to>
      <xdr:col>33</xdr:col>
      <xdr:colOff>0</xdr:colOff>
      <xdr:row>99</xdr:row>
      <xdr:rowOff>57150</xdr:rowOff>
    </xdr:to>
    <xdr:sp macro="" textlink="">
      <xdr:nvSpPr>
        <xdr:cNvPr id="53396" name="Line 71">
          <a:extLst>
            <a:ext uri="{FF2B5EF4-FFF2-40B4-BE49-F238E27FC236}">
              <a16:creationId xmlns:a16="http://schemas.microsoft.com/office/drawing/2014/main" id="{4AFC698B-B128-4D7F-A154-6F1EC3E15026}"/>
            </a:ext>
          </a:extLst>
        </xdr:cNvPr>
        <xdr:cNvSpPr>
          <a:spLocks noChangeShapeType="1"/>
        </xdr:cNvSpPr>
      </xdr:nvSpPr>
      <xdr:spPr bwMode="auto">
        <a:xfrm flipH="1">
          <a:off x="2009775" y="4371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152400</xdr:rowOff>
    </xdr:from>
    <xdr:to>
      <xdr:col>33</xdr:col>
      <xdr:colOff>0</xdr:colOff>
      <xdr:row>30</xdr:row>
      <xdr:rowOff>66675</xdr:rowOff>
    </xdr:to>
    <xdr:sp macro="" textlink="">
      <xdr:nvSpPr>
        <xdr:cNvPr id="53397" name="Line 72">
          <a:extLst>
            <a:ext uri="{FF2B5EF4-FFF2-40B4-BE49-F238E27FC236}">
              <a16:creationId xmlns:a16="http://schemas.microsoft.com/office/drawing/2014/main" id="{C83F17B1-5659-4B71-A354-340B9CF79E82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28575</xdr:rowOff>
    </xdr:to>
    <xdr:sp macro="" textlink="">
      <xdr:nvSpPr>
        <xdr:cNvPr id="53398" name="Arc 73">
          <a:extLst>
            <a:ext uri="{FF2B5EF4-FFF2-40B4-BE49-F238E27FC236}">
              <a16:creationId xmlns:a16="http://schemas.microsoft.com/office/drawing/2014/main" id="{E7A5002E-89A1-46B6-A65A-CF442AC75D2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47625</xdr:rowOff>
    </xdr:to>
    <xdr:sp macro="" textlink="">
      <xdr:nvSpPr>
        <xdr:cNvPr id="53399" name="Arc 74">
          <a:extLst>
            <a:ext uri="{FF2B5EF4-FFF2-40B4-BE49-F238E27FC236}">
              <a16:creationId xmlns:a16="http://schemas.microsoft.com/office/drawing/2014/main" id="{1C7723AF-D894-4268-8103-179334BC5933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28575</xdr:rowOff>
    </xdr:from>
    <xdr:to>
      <xdr:col>21</xdr:col>
      <xdr:colOff>0</xdr:colOff>
      <xdr:row>30</xdr:row>
      <xdr:rowOff>85725</xdr:rowOff>
    </xdr:to>
    <xdr:sp macro="" textlink="">
      <xdr:nvSpPr>
        <xdr:cNvPr id="53400" name="Arc 75">
          <a:extLst>
            <a:ext uri="{FF2B5EF4-FFF2-40B4-BE49-F238E27FC236}">
              <a16:creationId xmlns:a16="http://schemas.microsoft.com/office/drawing/2014/main" id="{6B3DF3E9-D441-43E6-9AF3-798DA1B1341A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15</xdr:row>
      <xdr:rowOff>28575</xdr:rowOff>
    </xdr:from>
    <xdr:to>
      <xdr:col>21</xdr:col>
      <xdr:colOff>0</xdr:colOff>
      <xdr:row>15</xdr:row>
      <xdr:rowOff>85725</xdr:rowOff>
    </xdr:to>
    <xdr:sp macro="" textlink="">
      <xdr:nvSpPr>
        <xdr:cNvPr id="53401" name="Line 76">
          <a:extLst>
            <a:ext uri="{FF2B5EF4-FFF2-40B4-BE49-F238E27FC236}">
              <a16:creationId xmlns:a16="http://schemas.microsoft.com/office/drawing/2014/main" id="{6A01A4DD-EB8D-4ED2-8D3B-66CCFAE1D4CA}"/>
            </a:ext>
          </a:extLst>
        </xdr:cNvPr>
        <xdr:cNvSpPr>
          <a:spLocks noChangeShapeType="1"/>
        </xdr:cNvSpPr>
      </xdr:nvSpPr>
      <xdr:spPr bwMode="auto">
        <a:xfrm flipH="1" flipV="1">
          <a:off x="2009775" y="41814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15</xdr:row>
      <xdr:rowOff>9525</xdr:rowOff>
    </xdr:from>
    <xdr:to>
      <xdr:col>21</xdr:col>
      <xdr:colOff>0</xdr:colOff>
      <xdr:row>15</xdr:row>
      <xdr:rowOff>76200</xdr:rowOff>
    </xdr:to>
    <xdr:sp macro="" textlink="">
      <xdr:nvSpPr>
        <xdr:cNvPr id="53402" name="Line 77">
          <a:extLst>
            <a:ext uri="{FF2B5EF4-FFF2-40B4-BE49-F238E27FC236}">
              <a16:creationId xmlns:a16="http://schemas.microsoft.com/office/drawing/2014/main" id="{239FB3D1-FB6B-4D64-931B-EA37692B8904}"/>
            </a:ext>
          </a:extLst>
        </xdr:cNvPr>
        <xdr:cNvSpPr>
          <a:spLocks noChangeShapeType="1"/>
        </xdr:cNvSpPr>
      </xdr:nvSpPr>
      <xdr:spPr bwMode="auto">
        <a:xfrm flipV="1">
          <a:off x="2009775" y="41624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15</xdr:row>
      <xdr:rowOff>57150</xdr:rowOff>
    </xdr:from>
    <xdr:to>
      <xdr:col>21</xdr:col>
      <xdr:colOff>0</xdr:colOff>
      <xdr:row>15</xdr:row>
      <xdr:rowOff>57150</xdr:rowOff>
    </xdr:to>
    <xdr:sp macro="" textlink="">
      <xdr:nvSpPr>
        <xdr:cNvPr id="53403" name="Line 78">
          <a:extLst>
            <a:ext uri="{FF2B5EF4-FFF2-40B4-BE49-F238E27FC236}">
              <a16:creationId xmlns:a16="http://schemas.microsoft.com/office/drawing/2014/main" id="{2A0F2A91-2495-4360-B703-B8FBCDE5D869}"/>
            </a:ext>
          </a:extLst>
        </xdr:cNvPr>
        <xdr:cNvSpPr>
          <a:spLocks noChangeShapeType="1"/>
        </xdr:cNvSpPr>
      </xdr:nvSpPr>
      <xdr:spPr bwMode="auto">
        <a:xfrm flipH="1">
          <a:off x="200977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152400</xdr:rowOff>
    </xdr:from>
    <xdr:to>
      <xdr:col>21</xdr:col>
      <xdr:colOff>0</xdr:colOff>
      <xdr:row>30</xdr:row>
      <xdr:rowOff>66675</xdr:rowOff>
    </xdr:to>
    <xdr:sp macro="" textlink="">
      <xdr:nvSpPr>
        <xdr:cNvPr id="53404" name="Line 79">
          <a:extLst>
            <a:ext uri="{FF2B5EF4-FFF2-40B4-BE49-F238E27FC236}">
              <a16:creationId xmlns:a16="http://schemas.microsoft.com/office/drawing/2014/main" id="{5F3892D6-7798-47E2-83BF-436BC47C0AA0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104775</xdr:colOff>
      <xdr:row>13</xdr:row>
      <xdr:rowOff>19050</xdr:rowOff>
    </xdr:from>
    <xdr:ext cx="3096232" cy="282770"/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B117EB0A-DBC5-4A0F-A4EF-B1F782280DFA}"/>
            </a:ext>
          </a:extLst>
        </xdr:cNvPr>
        <xdr:cNvSpPr txBox="1">
          <a:spLocks noChangeArrowheads="1"/>
        </xdr:cNvSpPr>
      </xdr:nvSpPr>
      <xdr:spPr bwMode="auto">
        <a:xfrm>
          <a:off x="1143000" y="1419225"/>
          <a:ext cx="3096232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classer par ordre alpha colonne A</a:t>
          </a:r>
          <a:endParaRPr lang="fr-FR"/>
        </a:p>
      </xdr:txBody>
    </xdr:sp>
    <xdr:clientData/>
  </xdr:one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28575</xdr:rowOff>
    </xdr:to>
    <xdr:sp macro="" textlink="">
      <xdr:nvSpPr>
        <xdr:cNvPr id="53406" name="Arc 81">
          <a:extLst>
            <a:ext uri="{FF2B5EF4-FFF2-40B4-BE49-F238E27FC236}">
              <a16:creationId xmlns:a16="http://schemas.microsoft.com/office/drawing/2014/main" id="{31FD442A-1249-42A5-BF32-E88DAA7E4A8D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47625</xdr:rowOff>
    </xdr:to>
    <xdr:sp macro="" textlink="">
      <xdr:nvSpPr>
        <xdr:cNvPr id="53407" name="Arc 82">
          <a:extLst>
            <a:ext uri="{FF2B5EF4-FFF2-40B4-BE49-F238E27FC236}">
              <a16:creationId xmlns:a16="http://schemas.microsoft.com/office/drawing/2014/main" id="{E11DF34A-AA5B-4D58-81AB-3E40A98599F8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28575</xdr:rowOff>
    </xdr:from>
    <xdr:to>
      <xdr:col>23</xdr:col>
      <xdr:colOff>0</xdr:colOff>
      <xdr:row>30</xdr:row>
      <xdr:rowOff>85725</xdr:rowOff>
    </xdr:to>
    <xdr:sp macro="" textlink="">
      <xdr:nvSpPr>
        <xdr:cNvPr id="53408" name="Arc 83">
          <a:extLst>
            <a:ext uri="{FF2B5EF4-FFF2-40B4-BE49-F238E27FC236}">
              <a16:creationId xmlns:a16="http://schemas.microsoft.com/office/drawing/2014/main" id="{E2E7671A-AF6A-4F1B-A423-E7EADCCC938E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84</xdr:row>
      <xdr:rowOff>28575</xdr:rowOff>
    </xdr:from>
    <xdr:to>
      <xdr:col>23</xdr:col>
      <xdr:colOff>0</xdr:colOff>
      <xdr:row>84</xdr:row>
      <xdr:rowOff>85725</xdr:rowOff>
    </xdr:to>
    <xdr:sp macro="" textlink="">
      <xdr:nvSpPr>
        <xdr:cNvPr id="53409" name="Line 84">
          <a:extLst>
            <a:ext uri="{FF2B5EF4-FFF2-40B4-BE49-F238E27FC236}">
              <a16:creationId xmlns:a16="http://schemas.microsoft.com/office/drawing/2014/main" id="{969EFA90-6F59-4614-83D3-D4D47AF27B26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16300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84</xdr:row>
      <xdr:rowOff>9525</xdr:rowOff>
    </xdr:from>
    <xdr:to>
      <xdr:col>23</xdr:col>
      <xdr:colOff>0</xdr:colOff>
      <xdr:row>84</xdr:row>
      <xdr:rowOff>76200</xdr:rowOff>
    </xdr:to>
    <xdr:sp macro="" textlink="">
      <xdr:nvSpPr>
        <xdr:cNvPr id="53410" name="Line 85">
          <a:extLst>
            <a:ext uri="{FF2B5EF4-FFF2-40B4-BE49-F238E27FC236}">
              <a16:creationId xmlns:a16="http://schemas.microsoft.com/office/drawing/2014/main" id="{30D37F05-F4B8-4AAC-B929-C7F189BAA553}"/>
            </a:ext>
          </a:extLst>
        </xdr:cNvPr>
        <xdr:cNvSpPr>
          <a:spLocks noChangeShapeType="1"/>
        </xdr:cNvSpPr>
      </xdr:nvSpPr>
      <xdr:spPr bwMode="auto">
        <a:xfrm flipV="1">
          <a:off x="2009775" y="116109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84</xdr:row>
      <xdr:rowOff>57150</xdr:rowOff>
    </xdr:from>
    <xdr:to>
      <xdr:col>23</xdr:col>
      <xdr:colOff>0</xdr:colOff>
      <xdr:row>84</xdr:row>
      <xdr:rowOff>57150</xdr:rowOff>
    </xdr:to>
    <xdr:sp macro="" textlink="">
      <xdr:nvSpPr>
        <xdr:cNvPr id="53411" name="Line 86">
          <a:extLst>
            <a:ext uri="{FF2B5EF4-FFF2-40B4-BE49-F238E27FC236}">
              <a16:creationId xmlns:a16="http://schemas.microsoft.com/office/drawing/2014/main" id="{681B383E-23CC-4714-8FA3-B0C74F9AC361}"/>
            </a:ext>
          </a:extLst>
        </xdr:cNvPr>
        <xdr:cNvSpPr>
          <a:spLocks noChangeShapeType="1"/>
        </xdr:cNvSpPr>
      </xdr:nvSpPr>
      <xdr:spPr bwMode="auto">
        <a:xfrm flipH="1">
          <a:off x="2009775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152400</xdr:rowOff>
    </xdr:from>
    <xdr:to>
      <xdr:col>23</xdr:col>
      <xdr:colOff>0</xdr:colOff>
      <xdr:row>30</xdr:row>
      <xdr:rowOff>66675</xdr:rowOff>
    </xdr:to>
    <xdr:sp macro="" textlink="">
      <xdr:nvSpPr>
        <xdr:cNvPr id="53412" name="Line 87">
          <a:extLst>
            <a:ext uri="{FF2B5EF4-FFF2-40B4-BE49-F238E27FC236}">
              <a16:creationId xmlns:a16="http://schemas.microsoft.com/office/drawing/2014/main" id="{5F3D0880-072D-4087-9EE0-F7D37E5E259A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3413" name="Arc 88">
          <a:extLst>
            <a:ext uri="{FF2B5EF4-FFF2-40B4-BE49-F238E27FC236}">
              <a16:creationId xmlns:a16="http://schemas.microsoft.com/office/drawing/2014/main" id="{6ABE031C-3986-4394-B26F-8F41B8EA6924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3414" name="Arc 89">
          <a:extLst>
            <a:ext uri="{FF2B5EF4-FFF2-40B4-BE49-F238E27FC236}">
              <a16:creationId xmlns:a16="http://schemas.microsoft.com/office/drawing/2014/main" id="{99D1018E-763F-4645-8E3A-03B1FA3B50CD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3415" name="Arc 90">
          <a:extLst>
            <a:ext uri="{FF2B5EF4-FFF2-40B4-BE49-F238E27FC236}">
              <a16:creationId xmlns:a16="http://schemas.microsoft.com/office/drawing/2014/main" id="{924B4B5B-285B-4BA0-B3EA-5B3BAAECAD3D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9</xdr:row>
      <xdr:rowOff>85725</xdr:rowOff>
    </xdr:to>
    <xdr:sp macro="" textlink="">
      <xdr:nvSpPr>
        <xdr:cNvPr id="53416" name="Line 91">
          <a:extLst>
            <a:ext uri="{FF2B5EF4-FFF2-40B4-BE49-F238E27FC236}">
              <a16:creationId xmlns:a16="http://schemas.microsoft.com/office/drawing/2014/main" id="{9CC89DBA-2809-4682-B5E8-7C7D1E12B054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2296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9</xdr:row>
      <xdr:rowOff>9525</xdr:rowOff>
    </xdr:from>
    <xdr:to>
      <xdr:col>18</xdr:col>
      <xdr:colOff>0</xdr:colOff>
      <xdr:row>9</xdr:row>
      <xdr:rowOff>76200</xdr:rowOff>
    </xdr:to>
    <xdr:sp macro="" textlink="">
      <xdr:nvSpPr>
        <xdr:cNvPr id="53417" name="Line 92">
          <a:extLst>
            <a:ext uri="{FF2B5EF4-FFF2-40B4-BE49-F238E27FC236}">
              <a16:creationId xmlns:a16="http://schemas.microsoft.com/office/drawing/2014/main" id="{4C3171D0-BA5B-4E04-B2DE-17903D17BC5D}"/>
            </a:ext>
          </a:extLst>
        </xdr:cNvPr>
        <xdr:cNvSpPr>
          <a:spLocks noChangeShapeType="1"/>
        </xdr:cNvSpPr>
      </xdr:nvSpPr>
      <xdr:spPr bwMode="auto">
        <a:xfrm flipV="1">
          <a:off x="2009775" y="82105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9</xdr:row>
      <xdr:rowOff>57150</xdr:rowOff>
    </xdr:from>
    <xdr:to>
      <xdr:col>18</xdr:col>
      <xdr:colOff>0</xdr:colOff>
      <xdr:row>9</xdr:row>
      <xdr:rowOff>57150</xdr:rowOff>
    </xdr:to>
    <xdr:sp macro="" textlink="">
      <xdr:nvSpPr>
        <xdr:cNvPr id="53418" name="Line 93">
          <a:extLst>
            <a:ext uri="{FF2B5EF4-FFF2-40B4-BE49-F238E27FC236}">
              <a16:creationId xmlns:a16="http://schemas.microsoft.com/office/drawing/2014/main" id="{A7EA0556-9696-4B8E-BD4C-571805677661}"/>
            </a:ext>
          </a:extLst>
        </xdr:cNvPr>
        <xdr:cNvSpPr>
          <a:spLocks noChangeShapeType="1"/>
        </xdr:cNvSpPr>
      </xdr:nvSpPr>
      <xdr:spPr bwMode="auto">
        <a:xfrm flipH="1">
          <a:off x="20097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3419" name="Line 94">
          <a:extLst>
            <a:ext uri="{FF2B5EF4-FFF2-40B4-BE49-F238E27FC236}">
              <a16:creationId xmlns:a16="http://schemas.microsoft.com/office/drawing/2014/main" id="{24898EC4-30FF-4987-A5DA-B0BFF86CED60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28575</xdr:rowOff>
    </xdr:to>
    <xdr:sp macro="" textlink="">
      <xdr:nvSpPr>
        <xdr:cNvPr id="53420" name="Arc 95">
          <a:extLst>
            <a:ext uri="{FF2B5EF4-FFF2-40B4-BE49-F238E27FC236}">
              <a16:creationId xmlns:a16="http://schemas.microsoft.com/office/drawing/2014/main" id="{D40EB533-5AEB-47EB-A1E3-9CA2504554EB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47625</xdr:rowOff>
    </xdr:to>
    <xdr:sp macro="" textlink="">
      <xdr:nvSpPr>
        <xdr:cNvPr id="53421" name="Arc 96">
          <a:extLst>
            <a:ext uri="{FF2B5EF4-FFF2-40B4-BE49-F238E27FC236}">
              <a16:creationId xmlns:a16="http://schemas.microsoft.com/office/drawing/2014/main" id="{86BE83F9-5B31-4C6E-9320-A421E9DE1301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28575</xdr:rowOff>
    </xdr:from>
    <xdr:to>
      <xdr:col>21</xdr:col>
      <xdr:colOff>0</xdr:colOff>
      <xdr:row>30</xdr:row>
      <xdr:rowOff>85725</xdr:rowOff>
    </xdr:to>
    <xdr:sp macro="" textlink="">
      <xdr:nvSpPr>
        <xdr:cNvPr id="53422" name="Arc 97">
          <a:extLst>
            <a:ext uri="{FF2B5EF4-FFF2-40B4-BE49-F238E27FC236}">
              <a16:creationId xmlns:a16="http://schemas.microsoft.com/office/drawing/2014/main" id="{BC04E1F2-E7B7-41BF-AC86-070280CCC015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64</xdr:row>
      <xdr:rowOff>28575</xdr:rowOff>
    </xdr:from>
    <xdr:to>
      <xdr:col>21</xdr:col>
      <xdr:colOff>0</xdr:colOff>
      <xdr:row>64</xdr:row>
      <xdr:rowOff>85725</xdr:rowOff>
    </xdr:to>
    <xdr:sp macro="" textlink="">
      <xdr:nvSpPr>
        <xdr:cNvPr id="53423" name="Line 98">
          <a:extLst>
            <a:ext uri="{FF2B5EF4-FFF2-40B4-BE49-F238E27FC236}">
              <a16:creationId xmlns:a16="http://schemas.microsoft.com/office/drawing/2014/main" id="{62C89927-40A1-4456-B63C-162D3A06AABD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43827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64</xdr:row>
      <xdr:rowOff>9525</xdr:rowOff>
    </xdr:from>
    <xdr:to>
      <xdr:col>21</xdr:col>
      <xdr:colOff>0</xdr:colOff>
      <xdr:row>64</xdr:row>
      <xdr:rowOff>76200</xdr:rowOff>
    </xdr:to>
    <xdr:sp macro="" textlink="">
      <xdr:nvSpPr>
        <xdr:cNvPr id="53424" name="Line 99">
          <a:extLst>
            <a:ext uri="{FF2B5EF4-FFF2-40B4-BE49-F238E27FC236}">
              <a16:creationId xmlns:a16="http://schemas.microsoft.com/office/drawing/2014/main" id="{2654556E-43E4-4033-B420-15DA058BB634}"/>
            </a:ext>
          </a:extLst>
        </xdr:cNvPr>
        <xdr:cNvSpPr>
          <a:spLocks noChangeShapeType="1"/>
        </xdr:cNvSpPr>
      </xdr:nvSpPr>
      <xdr:spPr bwMode="auto">
        <a:xfrm flipV="1">
          <a:off x="2009775" y="143637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64</xdr:row>
      <xdr:rowOff>57150</xdr:rowOff>
    </xdr:from>
    <xdr:to>
      <xdr:col>21</xdr:col>
      <xdr:colOff>0</xdr:colOff>
      <xdr:row>64</xdr:row>
      <xdr:rowOff>57150</xdr:rowOff>
    </xdr:to>
    <xdr:sp macro="" textlink="">
      <xdr:nvSpPr>
        <xdr:cNvPr id="53425" name="Line 100">
          <a:extLst>
            <a:ext uri="{FF2B5EF4-FFF2-40B4-BE49-F238E27FC236}">
              <a16:creationId xmlns:a16="http://schemas.microsoft.com/office/drawing/2014/main" id="{2FDCEEFA-00B4-4694-AD26-3E7DE72539A8}"/>
            </a:ext>
          </a:extLst>
        </xdr:cNvPr>
        <xdr:cNvSpPr>
          <a:spLocks noChangeShapeType="1"/>
        </xdr:cNvSpPr>
      </xdr:nvSpPr>
      <xdr:spPr bwMode="auto">
        <a:xfrm flipH="1">
          <a:off x="2009775" y="1441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152400</xdr:rowOff>
    </xdr:from>
    <xdr:to>
      <xdr:col>21</xdr:col>
      <xdr:colOff>0</xdr:colOff>
      <xdr:row>30</xdr:row>
      <xdr:rowOff>66675</xdr:rowOff>
    </xdr:to>
    <xdr:sp macro="" textlink="">
      <xdr:nvSpPr>
        <xdr:cNvPr id="53426" name="Line 101">
          <a:extLst>
            <a:ext uri="{FF2B5EF4-FFF2-40B4-BE49-F238E27FC236}">
              <a16:creationId xmlns:a16="http://schemas.microsoft.com/office/drawing/2014/main" id="{79894B74-1BF2-4B65-B394-092FCF2B1071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44</xdr:row>
      <xdr:rowOff>81915</xdr:rowOff>
    </xdr:from>
    <xdr:ext cx="1863139" cy="282770"/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DE1F28C8-F76D-4118-9E90-AA01EE9D523E}"/>
            </a:ext>
          </a:extLst>
        </xdr:cNvPr>
        <xdr:cNvSpPr txBox="1">
          <a:spLocks noChangeArrowheads="1"/>
        </xdr:cNvSpPr>
      </xdr:nvSpPr>
      <xdr:spPr bwMode="auto">
        <a:xfrm>
          <a:off x="1114425" y="7959090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28575</xdr:rowOff>
    </xdr:to>
    <xdr:sp macro="" textlink="">
      <xdr:nvSpPr>
        <xdr:cNvPr id="53428" name="Arc 103">
          <a:extLst>
            <a:ext uri="{FF2B5EF4-FFF2-40B4-BE49-F238E27FC236}">
              <a16:creationId xmlns:a16="http://schemas.microsoft.com/office/drawing/2014/main" id="{A97D63B7-F942-46E4-8D62-805CD7C45059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47625</xdr:rowOff>
    </xdr:to>
    <xdr:sp macro="" textlink="">
      <xdr:nvSpPr>
        <xdr:cNvPr id="53429" name="Arc 104">
          <a:extLst>
            <a:ext uri="{FF2B5EF4-FFF2-40B4-BE49-F238E27FC236}">
              <a16:creationId xmlns:a16="http://schemas.microsoft.com/office/drawing/2014/main" id="{0443C605-1FEC-4EB8-BE4F-EA43C4DDA825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28575</xdr:rowOff>
    </xdr:from>
    <xdr:to>
      <xdr:col>23</xdr:col>
      <xdr:colOff>0</xdr:colOff>
      <xdr:row>30</xdr:row>
      <xdr:rowOff>85725</xdr:rowOff>
    </xdr:to>
    <xdr:sp macro="" textlink="">
      <xdr:nvSpPr>
        <xdr:cNvPr id="53430" name="Arc 105">
          <a:extLst>
            <a:ext uri="{FF2B5EF4-FFF2-40B4-BE49-F238E27FC236}">
              <a16:creationId xmlns:a16="http://schemas.microsoft.com/office/drawing/2014/main" id="{10B2D2A8-307F-49BF-8D62-CA9699805F74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28575</xdr:rowOff>
    </xdr:from>
    <xdr:to>
      <xdr:col>23</xdr:col>
      <xdr:colOff>0</xdr:colOff>
      <xdr:row>9</xdr:row>
      <xdr:rowOff>85725</xdr:rowOff>
    </xdr:to>
    <xdr:sp macro="" textlink="">
      <xdr:nvSpPr>
        <xdr:cNvPr id="53431" name="Line 106">
          <a:extLst>
            <a:ext uri="{FF2B5EF4-FFF2-40B4-BE49-F238E27FC236}">
              <a16:creationId xmlns:a16="http://schemas.microsoft.com/office/drawing/2014/main" id="{8496A837-D5CD-4C22-A91A-D767234E097A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2296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9525</xdr:rowOff>
    </xdr:from>
    <xdr:to>
      <xdr:col>23</xdr:col>
      <xdr:colOff>0</xdr:colOff>
      <xdr:row>9</xdr:row>
      <xdr:rowOff>76200</xdr:rowOff>
    </xdr:to>
    <xdr:sp macro="" textlink="">
      <xdr:nvSpPr>
        <xdr:cNvPr id="53432" name="Line 107">
          <a:extLst>
            <a:ext uri="{FF2B5EF4-FFF2-40B4-BE49-F238E27FC236}">
              <a16:creationId xmlns:a16="http://schemas.microsoft.com/office/drawing/2014/main" id="{F7B70CDB-BD32-4DF3-A527-281CD8BD6D11}"/>
            </a:ext>
          </a:extLst>
        </xdr:cNvPr>
        <xdr:cNvSpPr>
          <a:spLocks noChangeShapeType="1"/>
        </xdr:cNvSpPr>
      </xdr:nvSpPr>
      <xdr:spPr bwMode="auto">
        <a:xfrm flipV="1">
          <a:off x="2009775" y="82105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57150</xdr:rowOff>
    </xdr:from>
    <xdr:to>
      <xdr:col>23</xdr:col>
      <xdr:colOff>0</xdr:colOff>
      <xdr:row>9</xdr:row>
      <xdr:rowOff>57150</xdr:rowOff>
    </xdr:to>
    <xdr:sp macro="" textlink="">
      <xdr:nvSpPr>
        <xdr:cNvPr id="53433" name="Line 108">
          <a:extLst>
            <a:ext uri="{FF2B5EF4-FFF2-40B4-BE49-F238E27FC236}">
              <a16:creationId xmlns:a16="http://schemas.microsoft.com/office/drawing/2014/main" id="{D8AA3551-E8E1-4E45-BEE8-92AD3573708D}"/>
            </a:ext>
          </a:extLst>
        </xdr:cNvPr>
        <xdr:cNvSpPr>
          <a:spLocks noChangeShapeType="1"/>
        </xdr:cNvSpPr>
      </xdr:nvSpPr>
      <xdr:spPr bwMode="auto">
        <a:xfrm flipH="1">
          <a:off x="20097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152400</xdr:rowOff>
    </xdr:from>
    <xdr:to>
      <xdr:col>23</xdr:col>
      <xdr:colOff>0</xdr:colOff>
      <xdr:row>30</xdr:row>
      <xdr:rowOff>66675</xdr:rowOff>
    </xdr:to>
    <xdr:sp macro="" textlink="">
      <xdr:nvSpPr>
        <xdr:cNvPr id="53434" name="Line 109">
          <a:extLst>
            <a:ext uri="{FF2B5EF4-FFF2-40B4-BE49-F238E27FC236}">
              <a16:creationId xmlns:a16="http://schemas.microsoft.com/office/drawing/2014/main" id="{387A154E-EF5A-41F0-8D54-4F13DB0895C8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0</xdr:colOff>
      <xdr:row>30</xdr:row>
      <xdr:rowOff>28575</xdr:rowOff>
    </xdr:to>
    <xdr:sp macro="" textlink="">
      <xdr:nvSpPr>
        <xdr:cNvPr id="53435" name="Arc 110">
          <a:extLst>
            <a:ext uri="{FF2B5EF4-FFF2-40B4-BE49-F238E27FC236}">
              <a16:creationId xmlns:a16="http://schemas.microsoft.com/office/drawing/2014/main" id="{5C06EDFF-D94B-4096-81DE-A9DF3E1E6E6C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0</xdr:colOff>
      <xdr:row>30</xdr:row>
      <xdr:rowOff>47625</xdr:rowOff>
    </xdr:to>
    <xdr:sp macro="" textlink="">
      <xdr:nvSpPr>
        <xdr:cNvPr id="53436" name="Arc 111">
          <a:extLst>
            <a:ext uri="{FF2B5EF4-FFF2-40B4-BE49-F238E27FC236}">
              <a16:creationId xmlns:a16="http://schemas.microsoft.com/office/drawing/2014/main" id="{89F4D5F2-E6A4-4E63-BB25-29A156038DCA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28575</xdr:rowOff>
    </xdr:from>
    <xdr:to>
      <xdr:col>25</xdr:col>
      <xdr:colOff>0</xdr:colOff>
      <xdr:row>30</xdr:row>
      <xdr:rowOff>85725</xdr:rowOff>
    </xdr:to>
    <xdr:sp macro="" textlink="">
      <xdr:nvSpPr>
        <xdr:cNvPr id="53437" name="Arc 112">
          <a:extLst>
            <a:ext uri="{FF2B5EF4-FFF2-40B4-BE49-F238E27FC236}">
              <a16:creationId xmlns:a16="http://schemas.microsoft.com/office/drawing/2014/main" id="{D57914EB-AAFC-4FB1-B32E-03728E24E478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45</xdr:row>
      <xdr:rowOff>28575</xdr:rowOff>
    </xdr:from>
    <xdr:to>
      <xdr:col>25</xdr:col>
      <xdr:colOff>0</xdr:colOff>
      <xdr:row>45</xdr:row>
      <xdr:rowOff>85725</xdr:rowOff>
    </xdr:to>
    <xdr:sp macro="" textlink="">
      <xdr:nvSpPr>
        <xdr:cNvPr id="53438" name="Line 113">
          <a:extLst>
            <a:ext uri="{FF2B5EF4-FFF2-40B4-BE49-F238E27FC236}">
              <a16:creationId xmlns:a16="http://schemas.microsoft.com/office/drawing/2014/main" id="{7424CED3-2BAF-4424-943A-16F8EF1EA4A3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0304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45</xdr:row>
      <xdr:rowOff>9525</xdr:rowOff>
    </xdr:from>
    <xdr:to>
      <xdr:col>25</xdr:col>
      <xdr:colOff>0</xdr:colOff>
      <xdr:row>45</xdr:row>
      <xdr:rowOff>76200</xdr:rowOff>
    </xdr:to>
    <xdr:sp macro="" textlink="">
      <xdr:nvSpPr>
        <xdr:cNvPr id="53439" name="Line 114">
          <a:extLst>
            <a:ext uri="{FF2B5EF4-FFF2-40B4-BE49-F238E27FC236}">
              <a16:creationId xmlns:a16="http://schemas.microsoft.com/office/drawing/2014/main" id="{F853E011-160E-459B-B40F-A8225BE878E9}"/>
            </a:ext>
          </a:extLst>
        </xdr:cNvPr>
        <xdr:cNvSpPr>
          <a:spLocks noChangeShapeType="1"/>
        </xdr:cNvSpPr>
      </xdr:nvSpPr>
      <xdr:spPr bwMode="auto">
        <a:xfrm flipV="1">
          <a:off x="2009775" y="150114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45</xdr:row>
      <xdr:rowOff>57150</xdr:rowOff>
    </xdr:from>
    <xdr:to>
      <xdr:col>25</xdr:col>
      <xdr:colOff>0</xdr:colOff>
      <xdr:row>45</xdr:row>
      <xdr:rowOff>57150</xdr:rowOff>
    </xdr:to>
    <xdr:sp macro="" textlink="">
      <xdr:nvSpPr>
        <xdr:cNvPr id="53440" name="Line 115">
          <a:extLst>
            <a:ext uri="{FF2B5EF4-FFF2-40B4-BE49-F238E27FC236}">
              <a16:creationId xmlns:a16="http://schemas.microsoft.com/office/drawing/2014/main" id="{9266D512-EDAF-4728-9DB6-37D64A2E9E69}"/>
            </a:ext>
          </a:extLst>
        </xdr:cNvPr>
        <xdr:cNvSpPr>
          <a:spLocks noChangeShapeType="1"/>
        </xdr:cNvSpPr>
      </xdr:nvSpPr>
      <xdr:spPr bwMode="auto">
        <a:xfrm flipH="1">
          <a:off x="2009775" y="15059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152400</xdr:rowOff>
    </xdr:from>
    <xdr:to>
      <xdr:col>25</xdr:col>
      <xdr:colOff>0</xdr:colOff>
      <xdr:row>30</xdr:row>
      <xdr:rowOff>66675</xdr:rowOff>
    </xdr:to>
    <xdr:sp macro="" textlink="">
      <xdr:nvSpPr>
        <xdr:cNvPr id="53441" name="Line 116">
          <a:extLst>
            <a:ext uri="{FF2B5EF4-FFF2-40B4-BE49-F238E27FC236}">
              <a16:creationId xmlns:a16="http://schemas.microsoft.com/office/drawing/2014/main" id="{90390A85-D76D-48A1-9B81-F253BB394FA8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3442" name="Arc 117">
          <a:extLst>
            <a:ext uri="{FF2B5EF4-FFF2-40B4-BE49-F238E27FC236}">
              <a16:creationId xmlns:a16="http://schemas.microsoft.com/office/drawing/2014/main" id="{B4E824CE-4903-47D4-B856-6AB0138C2CFB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3443" name="Arc 118">
          <a:extLst>
            <a:ext uri="{FF2B5EF4-FFF2-40B4-BE49-F238E27FC236}">
              <a16:creationId xmlns:a16="http://schemas.microsoft.com/office/drawing/2014/main" id="{61AEE174-8B5B-4722-A647-BCC9355C7BC1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3444" name="Arc 119">
          <a:extLst>
            <a:ext uri="{FF2B5EF4-FFF2-40B4-BE49-F238E27FC236}">
              <a16:creationId xmlns:a16="http://schemas.microsoft.com/office/drawing/2014/main" id="{230D537A-7063-426B-8420-529C0B66154A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86</xdr:row>
      <xdr:rowOff>28575</xdr:rowOff>
    </xdr:from>
    <xdr:to>
      <xdr:col>18</xdr:col>
      <xdr:colOff>0</xdr:colOff>
      <xdr:row>86</xdr:row>
      <xdr:rowOff>85725</xdr:rowOff>
    </xdr:to>
    <xdr:sp macro="" textlink="">
      <xdr:nvSpPr>
        <xdr:cNvPr id="53445" name="Line 120">
          <a:extLst>
            <a:ext uri="{FF2B5EF4-FFF2-40B4-BE49-F238E27FC236}">
              <a16:creationId xmlns:a16="http://schemas.microsoft.com/office/drawing/2014/main" id="{F3E9EDA3-997D-40E4-B30A-55095610FF6B}"/>
            </a:ext>
          </a:extLst>
        </xdr:cNvPr>
        <xdr:cNvSpPr>
          <a:spLocks noChangeShapeType="1"/>
        </xdr:cNvSpPr>
      </xdr:nvSpPr>
      <xdr:spPr bwMode="auto">
        <a:xfrm flipH="1" flipV="1">
          <a:off x="2009775" y="33718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86</xdr:row>
      <xdr:rowOff>9525</xdr:rowOff>
    </xdr:from>
    <xdr:to>
      <xdr:col>18</xdr:col>
      <xdr:colOff>0</xdr:colOff>
      <xdr:row>86</xdr:row>
      <xdr:rowOff>76200</xdr:rowOff>
    </xdr:to>
    <xdr:sp macro="" textlink="">
      <xdr:nvSpPr>
        <xdr:cNvPr id="53446" name="Line 121">
          <a:extLst>
            <a:ext uri="{FF2B5EF4-FFF2-40B4-BE49-F238E27FC236}">
              <a16:creationId xmlns:a16="http://schemas.microsoft.com/office/drawing/2014/main" id="{07100872-150D-4DDF-9024-8C6073895C8D}"/>
            </a:ext>
          </a:extLst>
        </xdr:cNvPr>
        <xdr:cNvSpPr>
          <a:spLocks noChangeShapeType="1"/>
        </xdr:cNvSpPr>
      </xdr:nvSpPr>
      <xdr:spPr bwMode="auto">
        <a:xfrm flipV="1">
          <a:off x="2009775" y="33528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86</xdr:row>
      <xdr:rowOff>57150</xdr:rowOff>
    </xdr:from>
    <xdr:to>
      <xdr:col>18</xdr:col>
      <xdr:colOff>0</xdr:colOff>
      <xdr:row>86</xdr:row>
      <xdr:rowOff>57150</xdr:rowOff>
    </xdr:to>
    <xdr:sp macro="" textlink="">
      <xdr:nvSpPr>
        <xdr:cNvPr id="53447" name="Line 122">
          <a:extLst>
            <a:ext uri="{FF2B5EF4-FFF2-40B4-BE49-F238E27FC236}">
              <a16:creationId xmlns:a16="http://schemas.microsoft.com/office/drawing/2014/main" id="{C314D57E-7B8E-4678-9C76-C6E9B403F901}"/>
            </a:ext>
          </a:extLst>
        </xdr:cNvPr>
        <xdr:cNvSpPr>
          <a:spLocks noChangeShapeType="1"/>
        </xdr:cNvSpPr>
      </xdr:nvSpPr>
      <xdr:spPr bwMode="auto">
        <a:xfrm flipH="1">
          <a:off x="2009775" y="3400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3448" name="Line 123">
          <a:extLst>
            <a:ext uri="{FF2B5EF4-FFF2-40B4-BE49-F238E27FC236}">
              <a16:creationId xmlns:a16="http://schemas.microsoft.com/office/drawing/2014/main" id="{A2A41243-CD56-4AB0-8099-89CEDC227B56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28575</xdr:rowOff>
    </xdr:to>
    <xdr:sp macro="" textlink="">
      <xdr:nvSpPr>
        <xdr:cNvPr id="53449" name="Arc 124">
          <a:extLst>
            <a:ext uri="{FF2B5EF4-FFF2-40B4-BE49-F238E27FC236}">
              <a16:creationId xmlns:a16="http://schemas.microsoft.com/office/drawing/2014/main" id="{43DF980C-095F-471D-99E3-DA5008502035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47625</xdr:rowOff>
    </xdr:to>
    <xdr:sp macro="" textlink="">
      <xdr:nvSpPr>
        <xdr:cNvPr id="53450" name="Arc 125">
          <a:extLst>
            <a:ext uri="{FF2B5EF4-FFF2-40B4-BE49-F238E27FC236}">
              <a16:creationId xmlns:a16="http://schemas.microsoft.com/office/drawing/2014/main" id="{BDB1ADBC-36B2-45F0-ACE8-0CB1AE83EA3A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28575</xdr:rowOff>
    </xdr:from>
    <xdr:to>
      <xdr:col>21</xdr:col>
      <xdr:colOff>0</xdr:colOff>
      <xdr:row>30</xdr:row>
      <xdr:rowOff>85725</xdr:rowOff>
    </xdr:to>
    <xdr:sp macro="" textlink="">
      <xdr:nvSpPr>
        <xdr:cNvPr id="53451" name="Arc 126">
          <a:extLst>
            <a:ext uri="{FF2B5EF4-FFF2-40B4-BE49-F238E27FC236}">
              <a16:creationId xmlns:a16="http://schemas.microsoft.com/office/drawing/2014/main" id="{7C1E9C0C-68A5-4CDF-ACDC-7FF0C4D19375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37</xdr:row>
      <xdr:rowOff>28575</xdr:rowOff>
    </xdr:from>
    <xdr:to>
      <xdr:col>21</xdr:col>
      <xdr:colOff>0</xdr:colOff>
      <xdr:row>37</xdr:row>
      <xdr:rowOff>85725</xdr:rowOff>
    </xdr:to>
    <xdr:sp macro="" textlink="">
      <xdr:nvSpPr>
        <xdr:cNvPr id="53452" name="Line 127">
          <a:extLst>
            <a:ext uri="{FF2B5EF4-FFF2-40B4-BE49-F238E27FC236}">
              <a16:creationId xmlns:a16="http://schemas.microsoft.com/office/drawing/2014/main" id="{A9A66871-2ABA-47A2-B783-319B115B3D84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37350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37</xdr:row>
      <xdr:rowOff>9525</xdr:rowOff>
    </xdr:from>
    <xdr:to>
      <xdr:col>21</xdr:col>
      <xdr:colOff>0</xdr:colOff>
      <xdr:row>37</xdr:row>
      <xdr:rowOff>76200</xdr:rowOff>
    </xdr:to>
    <xdr:sp macro="" textlink="">
      <xdr:nvSpPr>
        <xdr:cNvPr id="53453" name="Line 128">
          <a:extLst>
            <a:ext uri="{FF2B5EF4-FFF2-40B4-BE49-F238E27FC236}">
              <a16:creationId xmlns:a16="http://schemas.microsoft.com/office/drawing/2014/main" id="{578538BB-76B5-44FC-AB57-729C068F49D0}"/>
            </a:ext>
          </a:extLst>
        </xdr:cNvPr>
        <xdr:cNvSpPr>
          <a:spLocks noChangeShapeType="1"/>
        </xdr:cNvSpPr>
      </xdr:nvSpPr>
      <xdr:spPr bwMode="auto">
        <a:xfrm flipV="1">
          <a:off x="2009775" y="13716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37</xdr:row>
      <xdr:rowOff>57150</xdr:rowOff>
    </xdr:from>
    <xdr:to>
      <xdr:col>21</xdr:col>
      <xdr:colOff>0</xdr:colOff>
      <xdr:row>37</xdr:row>
      <xdr:rowOff>57150</xdr:rowOff>
    </xdr:to>
    <xdr:sp macro="" textlink="">
      <xdr:nvSpPr>
        <xdr:cNvPr id="53454" name="Line 129">
          <a:extLst>
            <a:ext uri="{FF2B5EF4-FFF2-40B4-BE49-F238E27FC236}">
              <a16:creationId xmlns:a16="http://schemas.microsoft.com/office/drawing/2014/main" id="{831DF317-7A5A-4DA1-BCD1-11B671E40027}"/>
            </a:ext>
          </a:extLst>
        </xdr:cNvPr>
        <xdr:cNvSpPr>
          <a:spLocks noChangeShapeType="1"/>
        </xdr:cNvSpPr>
      </xdr:nvSpPr>
      <xdr:spPr bwMode="auto">
        <a:xfrm flipH="1">
          <a:off x="2009775" y="13763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152400</xdr:rowOff>
    </xdr:from>
    <xdr:to>
      <xdr:col>21</xdr:col>
      <xdr:colOff>0</xdr:colOff>
      <xdr:row>30</xdr:row>
      <xdr:rowOff>66675</xdr:rowOff>
    </xdr:to>
    <xdr:sp macro="" textlink="">
      <xdr:nvSpPr>
        <xdr:cNvPr id="53455" name="Line 130">
          <a:extLst>
            <a:ext uri="{FF2B5EF4-FFF2-40B4-BE49-F238E27FC236}">
              <a16:creationId xmlns:a16="http://schemas.microsoft.com/office/drawing/2014/main" id="{15A076B6-E6E0-49C4-896F-8163C80AB595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44</xdr:row>
      <xdr:rowOff>81915</xdr:rowOff>
    </xdr:from>
    <xdr:ext cx="1863139" cy="282770"/>
    <xdr:sp macro="" textlink="">
      <xdr:nvSpPr>
        <xdr:cNvPr id="1155" name="Text Box 131">
          <a:extLst>
            <a:ext uri="{FF2B5EF4-FFF2-40B4-BE49-F238E27FC236}">
              <a16:creationId xmlns:a16="http://schemas.microsoft.com/office/drawing/2014/main" id="{EC5989EB-29ED-4A2C-8342-1634B15A415D}"/>
            </a:ext>
          </a:extLst>
        </xdr:cNvPr>
        <xdr:cNvSpPr txBox="1">
          <a:spLocks noChangeArrowheads="1"/>
        </xdr:cNvSpPr>
      </xdr:nvSpPr>
      <xdr:spPr bwMode="auto">
        <a:xfrm>
          <a:off x="1114425" y="7959090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28575</xdr:rowOff>
    </xdr:to>
    <xdr:sp macro="" textlink="">
      <xdr:nvSpPr>
        <xdr:cNvPr id="53457" name="Arc 132">
          <a:extLst>
            <a:ext uri="{FF2B5EF4-FFF2-40B4-BE49-F238E27FC236}">
              <a16:creationId xmlns:a16="http://schemas.microsoft.com/office/drawing/2014/main" id="{BEBA5B6C-DD12-4D65-B486-703E659465DB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47625</xdr:rowOff>
    </xdr:to>
    <xdr:sp macro="" textlink="">
      <xdr:nvSpPr>
        <xdr:cNvPr id="53458" name="Arc 133">
          <a:extLst>
            <a:ext uri="{FF2B5EF4-FFF2-40B4-BE49-F238E27FC236}">
              <a16:creationId xmlns:a16="http://schemas.microsoft.com/office/drawing/2014/main" id="{C8ECB98B-80BD-4FFC-AF87-A6EDD4641973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28575</xdr:rowOff>
    </xdr:from>
    <xdr:to>
      <xdr:col>23</xdr:col>
      <xdr:colOff>0</xdr:colOff>
      <xdr:row>30</xdr:row>
      <xdr:rowOff>85725</xdr:rowOff>
    </xdr:to>
    <xdr:sp macro="" textlink="">
      <xdr:nvSpPr>
        <xdr:cNvPr id="53459" name="Arc 134">
          <a:extLst>
            <a:ext uri="{FF2B5EF4-FFF2-40B4-BE49-F238E27FC236}">
              <a16:creationId xmlns:a16="http://schemas.microsoft.com/office/drawing/2014/main" id="{1C2D70E8-E5AA-4426-AC46-5218495F1582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86</xdr:row>
      <xdr:rowOff>28575</xdr:rowOff>
    </xdr:from>
    <xdr:to>
      <xdr:col>23</xdr:col>
      <xdr:colOff>0</xdr:colOff>
      <xdr:row>86</xdr:row>
      <xdr:rowOff>85725</xdr:rowOff>
    </xdr:to>
    <xdr:sp macro="" textlink="">
      <xdr:nvSpPr>
        <xdr:cNvPr id="53460" name="Line 135">
          <a:extLst>
            <a:ext uri="{FF2B5EF4-FFF2-40B4-BE49-F238E27FC236}">
              <a16:creationId xmlns:a16="http://schemas.microsoft.com/office/drawing/2014/main" id="{2DCAE9EC-4BFA-481C-BD2D-D1EA0B642582}"/>
            </a:ext>
          </a:extLst>
        </xdr:cNvPr>
        <xdr:cNvSpPr>
          <a:spLocks noChangeShapeType="1"/>
        </xdr:cNvSpPr>
      </xdr:nvSpPr>
      <xdr:spPr bwMode="auto">
        <a:xfrm flipH="1" flipV="1">
          <a:off x="2009775" y="33718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86</xdr:row>
      <xdr:rowOff>9525</xdr:rowOff>
    </xdr:from>
    <xdr:to>
      <xdr:col>23</xdr:col>
      <xdr:colOff>0</xdr:colOff>
      <xdr:row>86</xdr:row>
      <xdr:rowOff>76200</xdr:rowOff>
    </xdr:to>
    <xdr:sp macro="" textlink="">
      <xdr:nvSpPr>
        <xdr:cNvPr id="53461" name="Line 136">
          <a:extLst>
            <a:ext uri="{FF2B5EF4-FFF2-40B4-BE49-F238E27FC236}">
              <a16:creationId xmlns:a16="http://schemas.microsoft.com/office/drawing/2014/main" id="{1374A6A5-E777-4D2F-8B7D-5A1ABB63A42B}"/>
            </a:ext>
          </a:extLst>
        </xdr:cNvPr>
        <xdr:cNvSpPr>
          <a:spLocks noChangeShapeType="1"/>
        </xdr:cNvSpPr>
      </xdr:nvSpPr>
      <xdr:spPr bwMode="auto">
        <a:xfrm flipV="1">
          <a:off x="2009775" y="33528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86</xdr:row>
      <xdr:rowOff>57150</xdr:rowOff>
    </xdr:from>
    <xdr:to>
      <xdr:col>23</xdr:col>
      <xdr:colOff>0</xdr:colOff>
      <xdr:row>86</xdr:row>
      <xdr:rowOff>57150</xdr:rowOff>
    </xdr:to>
    <xdr:sp macro="" textlink="">
      <xdr:nvSpPr>
        <xdr:cNvPr id="53462" name="Line 137">
          <a:extLst>
            <a:ext uri="{FF2B5EF4-FFF2-40B4-BE49-F238E27FC236}">
              <a16:creationId xmlns:a16="http://schemas.microsoft.com/office/drawing/2014/main" id="{4A2D8C0E-D3F9-4324-84EA-A201CE763129}"/>
            </a:ext>
          </a:extLst>
        </xdr:cNvPr>
        <xdr:cNvSpPr>
          <a:spLocks noChangeShapeType="1"/>
        </xdr:cNvSpPr>
      </xdr:nvSpPr>
      <xdr:spPr bwMode="auto">
        <a:xfrm flipH="1">
          <a:off x="2009775" y="3400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152400</xdr:rowOff>
    </xdr:from>
    <xdr:to>
      <xdr:col>23</xdr:col>
      <xdr:colOff>0</xdr:colOff>
      <xdr:row>30</xdr:row>
      <xdr:rowOff>66675</xdr:rowOff>
    </xdr:to>
    <xdr:sp macro="" textlink="">
      <xdr:nvSpPr>
        <xdr:cNvPr id="53463" name="Line 138">
          <a:extLst>
            <a:ext uri="{FF2B5EF4-FFF2-40B4-BE49-F238E27FC236}">
              <a16:creationId xmlns:a16="http://schemas.microsoft.com/office/drawing/2014/main" id="{2E8574F9-0450-4E73-8525-0EE03649AE29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0</xdr:colOff>
      <xdr:row>30</xdr:row>
      <xdr:rowOff>28575</xdr:rowOff>
    </xdr:to>
    <xdr:sp macro="" textlink="">
      <xdr:nvSpPr>
        <xdr:cNvPr id="53464" name="Arc 139">
          <a:extLst>
            <a:ext uri="{FF2B5EF4-FFF2-40B4-BE49-F238E27FC236}">
              <a16:creationId xmlns:a16="http://schemas.microsoft.com/office/drawing/2014/main" id="{43FBA8BE-4EC4-42C9-B0E0-4AFD0EC3397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0</xdr:colOff>
      <xdr:row>30</xdr:row>
      <xdr:rowOff>47625</xdr:rowOff>
    </xdr:to>
    <xdr:sp macro="" textlink="">
      <xdr:nvSpPr>
        <xdr:cNvPr id="53465" name="Arc 140">
          <a:extLst>
            <a:ext uri="{FF2B5EF4-FFF2-40B4-BE49-F238E27FC236}">
              <a16:creationId xmlns:a16="http://schemas.microsoft.com/office/drawing/2014/main" id="{C80D9789-93E8-4E89-9718-122A8297BC8B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28575</xdr:rowOff>
    </xdr:from>
    <xdr:to>
      <xdr:col>25</xdr:col>
      <xdr:colOff>0</xdr:colOff>
      <xdr:row>30</xdr:row>
      <xdr:rowOff>85725</xdr:rowOff>
    </xdr:to>
    <xdr:sp macro="" textlink="">
      <xdr:nvSpPr>
        <xdr:cNvPr id="53466" name="Arc 141">
          <a:extLst>
            <a:ext uri="{FF2B5EF4-FFF2-40B4-BE49-F238E27FC236}">
              <a16:creationId xmlns:a16="http://schemas.microsoft.com/office/drawing/2014/main" id="{DCEEB0AE-AD5B-4346-8834-EA8EF16ECA01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71</xdr:row>
      <xdr:rowOff>28575</xdr:rowOff>
    </xdr:from>
    <xdr:to>
      <xdr:col>25</xdr:col>
      <xdr:colOff>0</xdr:colOff>
      <xdr:row>71</xdr:row>
      <xdr:rowOff>85725</xdr:rowOff>
    </xdr:to>
    <xdr:sp macro="" textlink="">
      <xdr:nvSpPr>
        <xdr:cNvPr id="53467" name="Line 142">
          <a:extLst>
            <a:ext uri="{FF2B5EF4-FFF2-40B4-BE49-F238E27FC236}">
              <a16:creationId xmlns:a16="http://schemas.microsoft.com/office/drawing/2014/main" id="{412B250D-DCD2-41ED-9D8D-4C1BF4164985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63258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71</xdr:row>
      <xdr:rowOff>9525</xdr:rowOff>
    </xdr:from>
    <xdr:to>
      <xdr:col>25</xdr:col>
      <xdr:colOff>0</xdr:colOff>
      <xdr:row>71</xdr:row>
      <xdr:rowOff>76200</xdr:rowOff>
    </xdr:to>
    <xdr:sp macro="" textlink="">
      <xdr:nvSpPr>
        <xdr:cNvPr id="53468" name="Line 143">
          <a:extLst>
            <a:ext uri="{FF2B5EF4-FFF2-40B4-BE49-F238E27FC236}">
              <a16:creationId xmlns:a16="http://schemas.microsoft.com/office/drawing/2014/main" id="{3B325791-12B4-4679-9FFF-9CBEB1BCCE73}"/>
            </a:ext>
          </a:extLst>
        </xdr:cNvPr>
        <xdr:cNvSpPr>
          <a:spLocks noChangeShapeType="1"/>
        </xdr:cNvSpPr>
      </xdr:nvSpPr>
      <xdr:spPr bwMode="auto">
        <a:xfrm flipV="1">
          <a:off x="2009775" y="163068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71</xdr:row>
      <xdr:rowOff>57150</xdr:rowOff>
    </xdr:from>
    <xdr:to>
      <xdr:col>25</xdr:col>
      <xdr:colOff>0</xdr:colOff>
      <xdr:row>71</xdr:row>
      <xdr:rowOff>57150</xdr:rowOff>
    </xdr:to>
    <xdr:sp macro="" textlink="">
      <xdr:nvSpPr>
        <xdr:cNvPr id="53469" name="Line 144">
          <a:extLst>
            <a:ext uri="{FF2B5EF4-FFF2-40B4-BE49-F238E27FC236}">
              <a16:creationId xmlns:a16="http://schemas.microsoft.com/office/drawing/2014/main" id="{E10D3921-A489-4496-872F-07EED72BF437}"/>
            </a:ext>
          </a:extLst>
        </xdr:cNvPr>
        <xdr:cNvSpPr>
          <a:spLocks noChangeShapeType="1"/>
        </xdr:cNvSpPr>
      </xdr:nvSpPr>
      <xdr:spPr bwMode="auto">
        <a:xfrm flipH="1">
          <a:off x="2009775" y="1635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152400</xdr:rowOff>
    </xdr:from>
    <xdr:to>
      <xdr:col>25</xdr:col>
      <xdr:colOff>0</xdr:colOff>
      <xdr:row>30</xdr:row>
      <xdr:rowOff>66675</xdr:rowOff>
    </xdr:to>
    <xdr:sp macro="" textlink="">
      <xdr:nvSpPr>
        <xdr:cNvPr id="53470" name="Line 145">
          <a:extLst>
            <a:ext uri="{FF2B5EF4-FFF2-40B4-BE49-F238E27FC236}">
              <a16:creationId xmlns:a16="http://schemas.microsoft.com/office/drawing/2014/main" id="{24545D13-1E02-42BA-A641-CF7BC132B016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0</xdr:colOff>
      <xdr:row>30</xdr:row>
      <xdr:rowOff>28575</xdr:rowOff>
    </xdr:to>
    <xdr:sp macro="" textlink="">
      <xdr:nvSpPr>
        <xdr:cNvPr id="53471" name="Arc 146">
          <a:extLst>
            <a:ext uri="{FF2B5EF4-FFF2-40B4-BE49-F238E27FC236}">
              <a16:creationId xmlns:a16="http://schemas.microsoft.com/office/drawing/2014/main" id="{F3969341-2B6C-46B2-B07E-BF6763BEE695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0</xdr:colOff>
      <xdr:row>30</xdr:row>
      <xdr:rowOff>47625</xdr:rowOff>
    </xdr:to>
    <xdr:sp macro="" textlink="">
      <xdr:nvSpPr>
        <xdr:cNvPr id="53472" name="Arc 147">
          <a:extLst>
            <a:ext uri="{FF2B5EF4-FFF2-40B4-BE49-F238E27FC236}">
              <a16:creationId xmlns:a16="http://schemas.microsoft.com/office/drawing/2014/main" id="{3521A454-EE95-478B-AFF1-1276046A7430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28575</xdr:rowOff>
    </xdr:from>
    <xdr:to>
      <xdr:col>27</xdr:col>
      <xdr:colOff>0</xdr:colOff>
      <xdr:row>30</xdr:row>
      <xdr:rowOff>85725</xdr:rowOff>
    </xdr:to>
    <xdr:sp macro="" textlink="">
      <xdr:nvSpPr>
        <xdr:cNvPr id="53473" name="Arc 148">
          <a:extLst>
            <a:ext uri="{FF2B5EF4-FFF2-40B4-BE49-F238E27FC236}">
              <a16:creationId xmlns:a16="http://schemas.microsoft.com/office/drawing/2014/main" id="{6F3465AB-930A-4344-94CE-E909C5986886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87</xdr:row>
      <xdr:rowOff>28575</xdr:rowOff>
    </xdr:from>
    <xdr:to>
      <xdr:col>27</xdr:col>
      <xdr:colOff>0</xdr:colOff>
      <xdr:row>87</xdr:row>
      <xdr:rowOff>85725</xdr:rowOff>
    </xdr:to>
    <xdr:sp macro="" textlink="">
      <xdr:nvSpPr>
        <xdr:cNvPr id="53474" name="Line 149">
          <a:extLst>
            <a:ext uri="{FF2B5EF4-FFF2-40B4-BE49-F238E27FC236}">
              <a16:creationId xmlns:a16="http://schemas.microsoft.com/office/drawing/2014/main" id="{EA87684E-14C1-4F59-8FAD-BC5AD590FA21}"/>
            </a:ext>
          </a:extLst>
        </xdr:cNvPr>
        <xdr:cNvSpPr>
          <a:spLocks noChangeShapeType="1"/>
        </xdr:cNvSpPr>
      </xdr:nvSpPr>
      <xdr:spPr bwMode="auto">
        <a:xfrm flipH="1" flipV="1">
          <a:off x="2009775" y="72580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87</xdr:row>
      <xdr:rowOff>9525</xdr:rowOff>
    </xdr:from>
    <xdr:to>
      <xdr:col>27</xdr:col>
      <xdr:colOff>0</xdr:colOff>
      <xdr:row>87</xdr:row>
      <xdr:rowOff>76200</xdr:rowOff>
    </xdr:to>
    <xdr:sp macro="" textlink="">
      <xdr:nvSpPr>
        <xdr:cNvPr id="53475" name="Line 150">
          <a:extLst>
            <a:ext uri="{FF2B5EF4-FFF2-40B4-BE49-F238E27FC236}">
              <a16:creationId xmlns:a16="http://schemas.microsoft.com/office/drawing/2014/main" id="{5E3EA31F-CED3-4291-B838-ADD2FFB67673}"/>
            </a:ext>
          </a:extLst>
        </xdr:cNvPr>
        <xdr:cNvSpPr>
          <a:spLocks noChangeShapeType="1"/>
        </xdr:cNvSpPr>
      </xdr:nvSpPr>
      <xdr:spPr bwMode="auto">
        <a:xfrm flipV="1">
          <a:off x="2009775" y="7239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87</xdr:row>
      <xdr:rowOff>57150</xdr:rowOff>
    </xdr:from>
    <xdr:to>
      <xdr:col>27</xdr:col>
      <xdr:colOff>0</xdr:colOff>
      <xdr:row>87</xdr:row>
      <xdr:rowOff>57150</xdr:rowOff>
    </xdr:to>
    <xdr:sp macro="" textlink="">
      <xdr:nvSpPr>
        <xdr:cNvPr id="53476" name="Line 151">
          <a:extLst>
            <a:ext uri="{FF2B5EF4-FFF2-40B4-BE49-F238E27FC236}">
              <a16:creationId xmlns:a16="http://schemas.microsoft.com/office/drawing/2014/main" id="{5AAE2D98-8079-467B-86E0-974AA859337A}"/>
            </a:ext>
          </a:extLst>
        </xdr:cNvPr>
        <xdr:cNvSpPr>
          <a:spLocks noChangeShapeType="1"/>
        </xdr:cNvSpPr>
      </xdr:nvSpPr>
      <xdr:spPr bwMode="auto">
        <a:xfrm flipH="1">
          <a:off x="2009775" y="7286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152400</xdr:rowOff>
    </xdr:from>
    <xdr:to>
      <xdr:col>27</xdr:col>
      <xdr:colOff>0</xdr:colOff>
      <xdr:row>30</xdr:row>
      <xdr:rowOff>66675</xdr:rowOff>
    </xdr:to>
    <xdr:sp macro="" textlink="">
      <xdr:nvSpPr>
        <xdr:cNvPr id="53477" name="Line 152">
          <a:extLst>
            <a:ext uri="{FF2B5EF4-FFF2-40B4-BE49-F238E27FC236}">
              <a16:creationId xmlns:a16="http://schemas.microsoft.com/office/drawing/2014/main" id="{DD77B952-4EE2-448C-BCD5-A6D04E13002E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0</xdr:colOff>
      <xdr:row>30</xdr:row>
      <xdr:rowOff>28575</xdr:rowOff>
    </xdr:to>
    <xdr:sp macro="" textlink="">
      <xdr:nvSpPr>
        <xdr:cNvPr id="53478" name="Arc 153">
          <a:extLst>
            <a:ext uri="{FF2B5EF4-FFF2-40B4-BE49-F238E27FC236}">
              <a16:creationId xmlns:a16="http://schemas.microsoft.com/office/drawing/2014/main" id="{A13AE85B-7AFF-4802-A4E0-D78AF58BD26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0</xdr:colOff>
      <xdr:row>30</xdr:row>
      <xdr:rowOff>47625</xdr:rowOff>
    </xdr:to>
    <xdr:sp macro="" textlink="">
      <xdr:nvSpPr>
        <xdr:cNvPr id="53479" name="Arc 154">
          <a:extLst>
            <a:ext uri="{FF2B5EF4-FFF2-40B4-BE49-F238E27FC236}">
              <a16:creationId xmlns:a16="http://schemas.microsoft.com/office/drawing/2014/main" id="{C37D73A2-4BF8-43F0-9F60-AFA3B7AC6965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28575</xdr:rowOff>
    </xdr:from>
    <xdr:to>
      <xdr:col>29</xdr:col>
      <xdr:colOff>0</xdr:colOff>
      <xdr:row>30</xdr:row>
      <xdr:rowOff>85725</xdr:rowOff>
    </xdr:to>
    <xdr:sp macro="" textlink="">
      <xdr:nvSpPr>
        <xdr:cNvPr id="53480" name="Arc 155">
          <a:extLst>
            <a:ext uri="{FF2B5EF4-FFF2-40B4-BE49-F238E27FC236}">
              <a16:creationId xmlns:a16="http://schemas.microsoft.com/office/drawing/2014/main" id="{50FEDE21-BEE5-4FBE-B0F7-EE746D6B9C65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54</xdr:row>
      <xdr:rowOff>28575</xdr:rowOff>
    </xdr:from>
    <xdr:to>
      <xdr:col>29</xdr:col>
      <xdr:colOff>0</xdr:colOff>
      <xdr:row>54</xdr:row>
      <xdr:rowOff>85725</xdr:rowOff>
    </xdr:to>
    <xdr:sp macro="" textlink="">
      <xdr:nvSpPr>
        <xdr:cNvPr id="53481" name="Line 156">
          <a:extLst>
            <a:ext uri="{FF2B5EF4-FFF2-40B4-BE49-F238E27FC236}">
              <a16:creationId xmlns:a16="http://schemas.microsoft.com/office/drawing/2014/main" id="{9FCD7C2D-F73E-476C-A597-461AECAC9E27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61639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54</xdr:row>
      <xdr:rowOff>9525</xdr:rowOff>
    </xdr:from>
    <xdr:to>
      <xdr:col>29</xdr:col>
      <xdr:colOff>0</xdr:colOff>
      <xdr:row>54</xdr:row>
      <xdr:rowOff>76200</xdr:rowOff>
    </xdr:to>
    <xdr:sp macro="" textlink="">
      <xdr:nvSpPr>
        <xdr:cNvPr id="53482" name="Line 157">
          <a:extLst>
            <a:ext uri="{FF2B5EF4-FFF2-40B4-BE49-F238E27FC236}">
              <a16:creationId xmlns:a16="http://schemas.microsoft.com/office/drawing/2014/main" id="{C2858A2F-B466-44B6-B49B-2CC3B07E5A0E}"/>
            </a:ext>
          </a:extLst>
        </xdr:cNvPr>
        <xdr:cNvSpPr>
          <a:spLocks noChangeShapeType="1"/>
        </xdr:cNvSpPr>
      </xdr:nvSpPr>
      <xdr:spPr bwMode="auto">
        <a:xfrm flipV="1">
          <a:off x="2009775" y="161448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54</xdr:row>
      <xdr:rowOff>57150</xdr:rowOff>
    </xdr:from>
    <xdr:to>
      <xdr:col>29</xdr:col>
      <xdr:colOff>0</xdr:colOff>
      <xdr:row>54</xdr:row>
      <xdr:rowOff>57150</xdr:rowOff>
    </xdr:to>
    <xdr:sp macro="" textlink="">
      <xdr:nvSpPr>
        <xdr:cNvPr id="53483" name="Line 158">
          <a:extLst>
            <a:ext uri="{FF2B5EF4-FFF2-40B4-BE49-F238E27FC236}">
              <a16:creationId xmlns:a16="http://schemas.microsoft.com/office/drawing/2014/main" id="{1D445991-1DE7-4876-B05F-85C8A4B9EDA4}"/>
            </a:ext>
          </a:extLst>
        </xdr:cNvPr>
        <xdr:cNvSpPr>
          <a:spLocks noChangeShapeType="1"/>
        </xdr:cNvSpPr>
      </xdr:nvSpPr>
      <xdr:spPr bwMode="auto">
        <a:xfrm flipH="1">
          <a:off x="2009775" y="1619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152400</xdr:rowOff>
    </xdr:from>
    <xdr:to>
      <xdr:col>29</xdr:col>
      <xdr:colOff>0</xdr:colOff>
      <xdr:row>30</xdr:row>
      <xdr:rowOff>66675</xdr:rowOff>
    </xdr:to>
    <xdr:sp macro="" textlink="">
      <xdr:nvSpPr>
        <xdr:cNvPr id="53484" name="Line 159">
          <a:extLst>
            <a:ext uri="{FF2B5EF4-FFF2-40B4-BE49-F238E27FC236}">
              <a16:creationId xmlns:a16="http://schemas.microsoft.com/office/drawing/2014/main" id="{CB8FB3E6-031F-4941-BF95-7B46E0C8670F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3485" name="Arc 160">
          <a:extLst>
            <a:ext uri="{FF2B5EF4-FFF2-40B4-BE49-F238E27FC236}">
              <a16:creationId xmlns:a16="http://schemas.microsoft.com/office/drawing/2014/main" id="{01F67C32-276E-4E52-9079-EE84106641A7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3486" name="Arc 161">
          <a:extLst>
            <a:ext uri="{FF2B5EF4-FFF2-40B4-BE49-F238E27FC236}">
              <a16:creationId xmlns:a16="http://schemas.microsoft.com/office/drawing/2014/main" id="{C27C89AD-8B30-40D4-832C-028DA120EA16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3487" name="Arc 162">
          <a:extLst>
            <a:ext uri="{FF2B5EF4-FFF2-40B4-BE49-F238E27FC236}">
              <a16:creationId xmlns:a16="http://schemas.microsoft.com/office/drawing/2014/main" id="{8A8F0B83-0596-4260-BDD1-8C7B3730EE12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</xdr:row>
      <xdr:rowOff>28575</xdr:rowOff>
    </xdr:from>
    <xdr:to>
      <xdr:col>18</xdr:col>
      <xdr:colOff>0</xdr:colOff>
      <xdr:row>26</xdr:row>
      <xdr:rowOff>85725</xdr:rowOff>
    </xdr:to>
    <xdr:sp macro="" textlink="">
      <xdr:nvSpPr>
        <xdr:cNvPr id="53488" name="Line 163">
          <a:extLst>
            <a:ext uri="{FF2B5EF4-FFF2-40B4-BE49-F238E27FC236}">
              <a16:creationId xmlns:a16="http://schemas.microsoft.com/office/drawing/2014/main" id="{CF37B62A-871D-47D6-8333-1CEF429832CD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3915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26</xdr:row>
      <xdr:rowOff>9525</xdr:rowOff>
    </xdr:from>
    <xdr:to>
      <xdr:col>18</xdr:col>
      <xdr:colOff>0</xdr:colOff>
      <xdr:row>26</xdr:row>
      <xdr:rowOff>76200</xdr:rowOff>
    </xdr:to>
    <xdr:sp macro="" textlink="">
      <xdr:nvSpPr>
        <xdr:cNvPr id="53489" name="Line 164">
          <a:extLst>
            <a:ext uri="{FF2B5EF4-FFF2-40B4-BE49-F238E27FC236}">
              <a16:creationId xmlns:a16="http://schemas.microsoft.com/office/drawing/2014/main" id="{3C95F4D0-6065-4906-B8A2-CA6A0BA36169}"/>
            </a:ext>
          </a:extLst>
        </xdr:cNvPr>
        <xdr:cNvSpPr>
          <a:spLocks noChangeShapeType="1"/>
        </xdr:cNvSpPr>
      </xdr:nvSpPr>
      <xdr:spPr bwMode="auto">
        <a:xfrm flipV="1">
          <a:off x="2009775" y="83724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26</xdr:row>
      <xdr:rowOff>57150</xdr:rowOff>
    </xdr:from>
    <xdr:to>
      <xdr:col>18</xdr:col>
      <xdr:colOff>0</xdr:colOff>
      <xdr:row>26</xdr:row>
      <xdr:rowOff>57150</xdr:rowOff>
    </xdr:to>
    <xdr:sp macro="" textlink="">
      <xdr:nvSpPr>
        <xdr:cNvPr id="53490" name="Line 165">
          <a:extLst>
            <a:ext uri="{FF2B5EF4-FFF2-40B4-BE49-F238E27FC236}">
              <a16:creationId xmlns:a16="http://schemas.microsoft.com/office/drawing/2014/main" id="{7A5A8724-D63D-4801-A81C-6D2A9FC4D07C}"/>
            </a:ext>
          </a:extLst>
        </xdr:cNvPr>
        <xdr:cNvSpPr>
          <a:spLocks noChangeShapeType="1"/>
        </xdr:cNvSpPr>
      </xdr:nvSpPr>
      <xdr:spPr bwMode="auto">
        <a:xfrm flipH="1">
          <a:off x="2009775" y="8420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3491" name="Line 166">
          <a:extLst>
            <a:ext uri="{FF2B5EF4-FFF2-40B4-BE49-F238E27FC236}">
              <a16:creationId xmlns:a16="http://schemas.microsoft.com/office/drawing/2014/main" id="{EB599BBF-3D66-4CE8-9D95-6193ACE71845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28575</xdr:rowOff>
    </xdr:to>
    <xdr:sp macro="" textlink="">
      <xdr:nvSpPr>
        <xdr:cNvPr id="53492" name="Arc 167">
          <a:extLst>
            <a:ext uri="{FF2B5EF4-FFF2-40B4-BE49-F238E27FC236}">
              <a16:creationId xmlns:a16="http://schemas.microsoft.com/office/drawing/2014/main" id="{F2466E4F-6F4E-4DAD-B9BD-DB49A72260D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47625</xdr:rowOff>
    </xdr:to>
    <xdr:sp macro="" textlink="">
      <xdr:nvSpPr>
        <xdr:cNvPr id="53493" name="Arc 168">
          <a:extLst>
            <a:ext uri="{FF2B5EF4-FFF2-40B4-BE49-F238E27FC236}">
              <a16:creationId xmlns:a16="http://schemas.microsoft.com/office/drawing/2014/main" id="{B7E92893-D08E-4ACA-AA54-9AE012371677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28575</xdr:rowOff>
    </xdr:from>
    <xdr:to>
      <xdr:col>21</xdr:col>
      <xdr:colOff>0</xdr:colOff>
      <xdr:row>30</xdr:row>
      <xdr:rowOff>85725</xdr:rowOff>
    </xdr:to>
    <xdr:sp macro="" textlink="">
      <xdr:nvSpPr>
        <xdr:cNvPr id="53494" name="Arc 169">
          <a:extLst>
            <a:ext uri="{FF2B5EF4-FFF2-40B4-BE49-F238E27FC236}">
              <a16:creationId xmlns:a16="http://schemas.microsoft.com/office/drawing/2014/main" id="{445940A2-109F-4BD0-9B4A-76BDA34A60EF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80</xdr:row>
      <xdr:rowOff>28575</xdr:rowOff>
    </xdr:from>
    <xdr:to>
      <xdr:col>21</xdr:col>
      <xdr:colOff>0</xdr:colOff>
      <xdr:row>80</xdr:row>
      <xdr:rowOff>85725</xdr:rowOff>
    </xdr:to>
    <xdr:sp macro="" textlink="">
      <xdr:nvSpPr>
        <xdr:cNvPr id="53495" name="Line 170">
          <a:extLst>
            <a:ext uri="{FF2B5EF4-FFF2-40B4-BE49-F238E27FC236}">
              <a16:creationId xmlns:a16="http://schemas.microsoft.com/office/drawing/2014/main" id="{6BD05B28-923E-4758-93F4-9B99887CB85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06584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80</xdr:row>
      <xdr:rowOff>9525</xdr:rowOff>
    </xdr:from>
    <xdr:to>
      <xdr:col>21</xdr:col>
      <xdr:colOff>0</xdr:colOff>
      <xdr:row>80</xdr:row>
      <xdr:rowOff>76200</xdr:rowOff>
    </xdr:to>
    <xdr:sp macro="" textlink="">
      <xdr:nvSpPr>
        <xdr:cNvPr id="53496" name="Line 171">
          <a:extLst>
            <a:ext uri="{FF2B5EF4-FFF2-40B4-BE49-F238E27FC236}">
              <a16:creationId xmlns:a16="http://schemas.microsoft.com/office/drawing/2014/main" id="{88297EE6-F890-4AC4-8E89-C54EF4BE9237}"/>
            </a:ext>
          </a:extLst>
        </xdr:cNvPr>
        <xdr:cNvSpPr>
          <a:spLocks noChangeShapeType="1"/>
        </xdr:cNvSpPr>
      </xdr:nvSpPr>
      <xdr:spPr bwMode="auto">
        <a:xfrm flipV="1">
          <a:off x="2009775" y="106394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80</xdr:row>
      <xdr:rowOff>57150</xdr:rowOff>
    </xdr:from>
    <xdr:to>
      <xdr:col>21</xdr:col>
      <xdr:colOff>0</xdr:colOff>
      <xdr:row>80</xdr:row>
      <xdr:rowOff>57150</xdr:rowOff>
    </xdr:to>
    <xdr:sp macro="" textlink="">
      <xdr:nvSpPr>
        <xdr:cNvPr id="53497" name="Line 172">
          <a:extLst>
            <a:ext uri="{FF2B5EF4-FFF2-40B4-BE49-F238E27FC236}">
              <a16:creationId xmlns:a16="http://schemas.microsoft.com/office/drawing/2014/main" id="{F5DFD53C-741D-416C-BA6E-AB6A89DFA5F0}"/>
            </a:ext>
          </a:extLst>
        </xdr:cNvPr>
        <xdr:cNvSpPr>
          <a:spLocks noChangeShapeType="1"/>
        </xdr:cNvSpPr>
      </xdr:nvSpPr>
      <xdr:spPr bwMode="auto">
        <a:xfrm flipH="1">
          <a:off x="2009775" y="1068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29</xdr:row>
      <xdr:rowOff>152400</xdr:rowOff>
    </xdr:from>
    <xdr:to>
      <xdr:col>21</xdr:col>
      <xdr:colOff>0</xdr:colOff>
      <xdr:row>30</xdr:row>
      <xdr:rowOff>66675</xdr:rowOff>
    </xdr:to>
    <xdr:sp macro="" textlink="">
      <xdr:nvSpPr>
        <xdr:cNvPr id="53498" name="Line 173">
          <a:extLst>
            <a:ext uri="{FF2B5EF4-FFF2-40B4-BE49-F238E27FC236}">
              <a16:creationId xmlns:a16="http://schemas.microsoft.com/office/drawing/2014/main" id="{EDC91FDF-D814-4E37-BABA-D2BFA4ACB820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44</xdr:row>
      <xdr:rowOff>81915</xdr:rowOff>
    </xdr:from>
    <xdr:ext cx="1863139" cy="282770"/>
    <xdr:sp macro="" textlink="">
      <xdr:nvSpPr>
        <xdr:cNvPr id="1198" name="Text Box 174">
          <a:extLst>
            <a:ext uri="{FF2B5EF4-FFF2-40B4-BE49-F238E27FC236}">
              <a16:creationId xmlns:a16="http://schemas.microsoft.com/office/drawing/2014/main" id="{FF286EAB-7D02-4CEC-B2AB-CA771F42EF0C}"/>
            </a:ext>
          </a:extLst>
        </xdr:cNvPr>
        <xdr:cNvSpPr txBox="1">
          <a:spLocks noChangeArrowheads="1"/>
        </xdr:cNvSpPr>
      </xdr:nvSpPr>
      <xdr:spPr bwMode="auto">
        <a:xfrm>
          <a:off x="1114425" y="7959090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28575</xdr:rowOff>
    </xdr:to>
    <xdr:sp macro="" textlink="">
      <xdr:nvSpPr>
        <xdr:cNvPr id="53500" name="Arc 175">
          <a:extLst>
            <a:ext uri="{FF2B5EF4-FFF2-40B4-BE49-F238E27FC236}">
              <a16:creationId xmlns:a16="http://schemas.microsoft.com/office/drawing/2014/main" id="{363E5241-4016-4BBA-B979-F415B86410B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30</xdr:row>
      <xdr:rowOff>47625</xdr:rowOff>
    </xdr:to>
    <xdr:sp macro="" textlink="">
      <xdr:nvSpPr>
        <xdr:cNvPr id="53501" name="Arc 176">
          <a:extLst>
            <a:ext uri="{FF2B5EF4-FFF2-40B4-BE49-F238E27FC236}">
              <a16:creationId xmlns:a16="http://schemas.microsoft.com/office/drawing/2014/main" id="{80DD4B9B-9069-4D1B-A452-BB0C700AF7C6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28575</xdr:rowOff>
    </xdr:from>
    <xdr:to>
      <xdr:col>23</xdr:col>
      <xdr:colOff>0</xdr:colOff>
      <xdr:row>30</xdr:row>
      <xdr:rowOff>85725</xdr:rowOff>
    </xdr:to>
    <xdr:sp macro="" textlink="">
      <xdr:nvSpPr>
        <xdr:cNvPr id="53502" name="Arc 177">
          <a:extLst>
            <a:ext uri="{FF2B5EF4-FFF2-40B4-BE49-F238E27FC236}">
              <a16:creationId xmlns:a16="http://schemas.microsoft.com/office/drawing/2014/main" id="{0A6C2671-703A-43B3-A60E-1B6D2C78E1CF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28575</xdr:rowOff>
    </xdr:from>
    <xdr:to>
      <xdr:col>23</xdr:col>
      <xdr:colOff>0</xdr:colOff>
      <xdr:row>26</xdr:row>
      <xdr:rowOff>85725</xdr:rowOff>
    </xdr:to>
    <xdr:sp macro="" textlink="">
      <xdr:nvSpPr>
        <xdr:cNvPr id="53503" name="Line 178">
          <a:extLst>
            <a:ext uri="{FF2B5EF4-FFF2-40B4-BE49-F238E27FC236}">
              <a16:creationId xmlns:a16="http://schemas.microsoft.com/office/drawing/2014/main" id="{479920C8-BA9A-400E-9C7C-50322074CC36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3915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9525</xdr:rowOff>
    </xdr:from>
    <xdr:to>
      <xdr:col>23</xdr:col>
      <xdr:colOff>0</xdr:colOff>
      <xdr:row>26</xdr:row>
      <xdr:rowOff>76200</xdr:rowOff>
    </xdr:to>
    <xdr:sp macro="" textlink="">
      <xdr:nvSpPr>
        <xdr:cNvPr id="53504" name="Line 179">
          <a:extLst>
            <a:ext uri="{FF2B5EF4-FFF2-40B4-BE49-F238E27FC236}">
              <a16:creationId xmlns:a16="http://schemas.microsoft.com/office/drawing/2014/main" id="{590172BA-0464-4702-9657-FF71BC32A0D6}"/>
            </a:ext>
          </a:extLst>
        </xdr:cNvPr>
        <xdr:cNvSpPr>
          <a:spLocks noChangeShapeType="1"/>
        </xdr:cNvSpPr>
      </xdr:nvSpPr>
      <xdr:spPr bwMode="auto">
        <a:xfrm flipV="1">
          <a:off x="2009775" y="83724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57150</xdr:rowOff>
    </xdr:from>
    <xdr:to>
      <xdr:col>23</xdr:col>
      <xdr:colOff>0</xdr:colOff>
      <xdr:row>26</xdr:row>
      <xdr:rowOff>57150</xdr:rowOff>
    </xdr:to>
    <xdr:sp macro="" textlink="">
      <xdr:nvSpPr>
        <xdr:cNvPr id="53505" name="Line 180">
          <a:extLst>
            <a:ext uri="{FF2B5EF4-FFF2-40B4-BE49-F238E27FC236}">
              <a16:creationId xmlns:a16="http://schemas.microsoft.com/office/drawing/2014/main" id="{085E3F0A-C16C-4357-ABDD-5C93F7E308F0}"/>
            </a:ext>
          </a:extLst>
        </xdr:cNvPr>
        <xdr:cNvSpPr>
          <a:spLocks noChangeShapeType="1"/>
        </xdr:cNvSpPr>
      </xdr:nvSpPr>
      <xdr:spPr bwMode="auto">
        <a:xfrm flipH="1">
          <a:off x="2009775" y="8420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152400</xdr:rowOff>
    </xdr:from>
    <xdr:to>
      <xdr:col>23</xdr:col>
      <xdr:colOff>0</xdr:colOff>
      <xdr:row>30</xdr:row>
      <xdr:rowOff>66675</xdr:rowOff>
    </xdr:to>
    <xdr:sp macro="" textlink="">
      <xdr:nvSpPr>
        <xdr:cNvPr id="53506" name="Line 181">
          <a:extLst>
            <a:ext uri="{FF2B5EF4-FFF2-40B4-BE49-F238E27FC236}">
              <a16:creationId xmlns:a16="http://schemas.microsoft.com/office/drawing/2014/main" id="{3AC8B1B9-DE61-495B-9772-1A24C7955F88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0</xdr:colOff>
      <xdr:row>30</xdr:row>
      <xdr:rowOff>28575</xdr:rowOff>
    </xdr:to>
    <xdr:sp macro="" textlink="">
      <xdr:nvSpPr>
        <xdr:cNvPr id="53507" name="Arc 182">
          <a:extLst>
            <a:ext uri="{FF2B5EF4-FFF2-40B4-BE49-F238E27FC236}">
              <a16:creationId xmlns:a16="http://schemas.microsoft.com/office/drawing/2014/main" id="{54AD1DFC-B9BB-465B-866B-3C6344895686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0</xdr:colOff>
      <xdr:row>30</xdr:row>
      <xdr:rowOff>47625</xdr:rowOff>
    </xdr:to>
    <xdr:sp macro="" textlink="">
      <xdr:nvSpPr>
        <xdr:cNvPr id="53508" name="Arc 183">
          <a:extLst>
            <a:ext uri="{FF2B5EF4-FFF2-40B4-BE49-F238E27FC236}">
              <a16:creationId xmlns:a16="http://schemas.microsoft.com/office/drawing/2014/main" id="{0CFC0C1D-537E-444A-9A8D-C2A76DAC02BF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28575</xdr:rowOff>
    </xdr:from>
    <xdr:to>
      <xdr:col>25</xdr:col>
      <xdr:colOff>0</xdr:colOff>
      <xdr:row>30</xdr:row>
      <xdr:rowOff>85725</xdr:rowOff>
    </xdr:to>
    <xdr:sp macro="" textlink="">
      <xdr:nvSpPr>
        <xdr:cNvPr id="53509" name="Arc 184">
          <a:extLst>
            <a:ext uri="{FF2B5EF4-FFF2-40B4-BE49-F238E27FC236}">
              <a16:creationId xmlns:a16="http://schemas.microsoft.com/office/drawing/2014/main" id="{F2A40037-F85A-48DB-BEEB-A2F8E0AD3153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83</xdr:row>
      <xdr:rowOff>28575</xdr:rowOff>
    </xdr:from>
    <xdr:to>
      <xdr:col>25</xdr:col>
      <xdr:colOff>0</xdr:colOff>
      <xdr:row>83</xdr:row>
      <xdr:rowOff>85725</xdr:rowOff>
    </xdr:to>
    <xdr:sp macro="" textlink="">
      <xdr:nvSpPr>
        <xdr:cNvPr id="53510" name="Line 185">
          <a:extLst>
            <a:ext uri="{FF2B5EF4-FFF2-40B4-BE49-F238E27FC236}">
              <a16:creationId xmlns:a16="http://schemas.microsoft.com/office/drawing/2014/main" id="{D64DE6D3-3B05-4DEA-BBAA-D038B37C8F1E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8773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83</xdr:row>
      <xdr:rowOff>9525</xdr:rowOff>
    </xdr:from>
    <xdr:to>
      <xdr:col>25</xdr:col>
      <xdr:colOff>0</xdr:colOff>
      <xdr:row>83</xdr:row>
      <xdr:rowOff>76200</xdr:rowOff>
    </xdr:to>
    <xdr:sp macro="" textlink="">
      <xdr:nvSpPr>
        <xdr:cNvPr id="53511" name="Line 186">
          <a:extLst>
            <a:ext uri="{FF2B5EF4-FFF2-40B4-BE49-F238E27FC236}">
              <a16:creationId xmlns:a16="http://schemas.microsoft.com/office/drawing/2014/main" id="{E65CF9BC-4E31-4CD1-B2A0-4B79E21187F1}"/>
            </a:ext>
          </a:extLst>
        </xdr:cNvPr>
        <xdr:cNvSpPr>
          <a:spLocks noChangeShapeType="1"/>
        </xdr:cNvSpPr>
      </xdr:nvSpPr>
      <xdr:spPr bwMode="auto">
        <a:xfrm flipV="1">
          <a:off x="2009775" y="88582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83</xdr:row>
      <xdr:rowOff>57150</xdr:rowOff>
    </xdr:from>
    <xdr:to>
      <xdr:col>25</xdr:col>
      <xdr:colOff>0</xdr:colOff>
      <xdr:row>83</xdr:row>
      <xdr:rowOff>57150</xdr:rowOff>
    </xdr:to>
    <xdr:sp macro="" textlink="">
      <xdr:nvSpPr>
        <xdr:cNvPr id="53512" name="Line 187">
          <a:extLst>
            <a:ext uri="{FF2B5EF4-FFF2-40B4-BE49-F238E27FC236}">
              <a16:creationId xmlns:a16="http://schemas.microsoft.com/office/drawing/2014/main" id="{DDD2B351-9CE8-481D-93D1-251C4EE17E4B}"/>
            </a:ext>
          </a:extLst>
        </xdr:cNvPr>
        <xdr:cNvSpPr>
          <a:spLocks noChangeShapeType="1"/>
        </xdr:cNvSpPr>
      </xdr:nvSpPr>
      <xdr:spPr bwMode="auto">
        <a:xfrm flipH="1">
          <a:off x="2009775" y="890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152400</xdr:rowOff>
    </xdr:from>
    <xdr:to>
      <xdr:col>25</xdr:col>
      <xdr:colOff>0</xdr:colOff>
      <xdr:row>30</xdr:row>
      <xdr:rowOff>66675</xdr:rowOff>
    </xdr:to>
    <xdr:sp macro="" textlink="">
      <xdr:nvSpPr>
        <xdr:cNvPr id="53513" name="Line 188">
          <a:extLst>
            <a:ext uri="{FF2B5EF4-FFF2-40B4-BE49-F238E27FC236}">
              <a16:creationId xmlns:a16="http://schemas.microsoft.com/office/drawing/2014/main" id="{53B50C4B-A7FF-4C3D-83AD-A78EA04DC970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0</xdr:colOff>
      <xdr:row>30</xdr:row>
      <xdr:rowOff>28575</xdr:rowOff>
    </xdr:to>
    <xdr:sp macro="" textlink="">
      <xdr:nvSpPr>
        <xdr:cNvPr id="53514" name="Arc 189">
          <a:extLst>
            <a:ext uri="{FF2B5EF4-FFF2-40B4-BE49-F238E27FC236}">
              <a16:creationId xmlns:a16="http://schemas.microsoft.com/office/drawing/2014/main" id="{FAA16085-BEE9-4EBE-88B4-7442B01397C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0</xdr:colOff>
      <xdr:row>30</xdr:row>
      <xdr:rowOff>47625</xdr:rowOff>
    </xdr:to>
    <xdr:sp macro="" textlink="">
      <xdr:nvSpPr>
        <xdr:cNvPr id="53515" name="Arc 190">
          <a:extLst>
            <a:ext uri="{FF2B5EF4-FFF2-40B4-BE49-F238E27FC236}">
              <a16:creationId xmlns:a16="http://schemas.microsoft.com/office/drawing/2014/main" id="{D2A89B96-3A93-4DE6-9449-46FEE249B6E3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28575</xdr:rowOff>
    </xdr:from>
    <xdr:to>
      <xdr:col>27</xdr:col>
      <xdr:colOff>0</xdr:colOff>
      <xdr:row>30</xdr:row>
      <xdr:rowOff>85725</xdr:rowOff>
    </xdr:to>
    <xdr:sp macro="" textlink="">
      <xdr:nvSpPr>
        <xdr:cNvPr id="53516" name="Arc 191">
          <a:extLst>
            <a:ext uri="{FF2B5EF4-FFF2-40B4-BE49-F238E27FC236}">
              <a16:creationId xmlns:a16="http://schemas.microsoft.com/office/drawing/2014/main" id="{86B5D852-900B-467B-A577-3B533CCC532A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84</xdr:row>
      <xdr:rowOff>28575</xdr:rowOff>
    </xdr:from>
    <xdr:to>
      <xdr:col>27</xdr:col>
      <xdr:colOff>0</xdr:colOff>
      <xdr:row>84</xdr:row>
      <xdr:rowOff>85725</xdr:rowOff>
    </xdr:to>
    <xdr:sp macro="" textlink="">
      <xdr:nvSpPr>
        <xdr:cNvPr id="53517" name="Line 192">
          <a:extLst>
            <a:ext uri="{FF2B5EF4-FFF2-40B4-BE49-F238E27FC236}">
              <a16:creationId xmlns:a16="http://schemas.microsoft.com/office/drawing/2014/main" id="{EB6B9B7A-58CE-4832-AD7C-08FC75921D0B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16300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84</xdr:row>
      <xdr:rowOff>9525</xdr:rowOff>
    </xdr:from>
    <xdr:to>
      <xdr:col>27</xdr:col>
      <xdr:colOff>0</xdr:colOff>
      <xdr:row>84</xdr:row>
      <xdr:rowOff>76200</xdr:rowOff>
    </xdr:to>
    <xdr:sp macro="" textlink="">
      <xdr:nvSpPr>
        <xdr:cNvPr id="53518" name="Line 193">
          <a:extLst>
            <a:ext uri="{FF2B5EF4-FFF2-40B4-BE49-F238E27FC236}">
              <a16:creationId xmlns:a16="http://schemas.microsoft.com/office/drawing/2014/main" id="{7AF1792D-17B9-4FA7-8100-65B091ED5226}"/>
            </a:ext>
          </a:extLst>
        </xdr:cNvPr>
        <xdr:cNvSpPr>
          <a:spLocks noChangeShapeType="1"/>
        </xdr:cNvSpPr>
      </xdr:nvSpPr>
      <xdr:spPr bwMode="auto">
        <a:xfrm flipV="1">
          <a:off x="2009775" y="116109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84</xdr:row>
      <xdr:rowOff>57150</xdr:rowOff>
    </xdr:from>
    <xdr:to>
      <xdr:col>27</xdr:col>
      <xdr:colOff>0</xdr:colOff>
      <xdr:row>84</xdr:row>
      <xdr:rowOff>57150</xdr:rowOff>
    </xdr:to>
    <xdr:sp macro="" textlink="">
      <xdr:nvSpPr>
        <xdr:cNvPr id="53519" name="Line 194">
          <a:extLst>
            <a:ext uri="{FF2B5EF4-FFF2-40B4-BE49-F238E27FC236}">
              <a16:creationId xmlns:a16="http://schemas.microsoft.com/office/drawing/2014/main" id="{C09E69E2-C8DF-4A4D-BBDD-C72F38318DDC}"/>
            </a:ext>
          </a:extLst>
        </xdr:cNvPr>
        <xdr:cNvSpPr>
          <a:spLocks noChangeShapeType="1"/>
        </xdr:cNvSpPr>
      </xdr:nvSpPr>
      <xdr:spPr bwMode="auto">
        <a:xfrm flipH="1">
          <a:off x="2009775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152400</xdr:rowOff>
    </xdr:from>
    <xdr:to>
      <xdr:col>27</xdr:col>
      <xdr:colOff>0</xdr:colOff>
      <xdr:row>30</xdr:row>
      <xdr:rowOff>66675</xdr:rowOff>
    </xdr:to>
    <xdr:sp macro="" textlink="">
      <xdr:nvSpPr>
        <xdr:cNvPr id="53520" name="Line 195">
          <a:extLst>
            <a:ext uri="{FF2B5EF4-FFF2-40B4-BE49-F238E27FC236}">
              <a16:creationId xmlns:a16="http://schemas.microsoft.com/office/drawing/2014/main" id="{48614411-ECE6-4EED-88DE-413CA246A888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0</xdr:colOff>
      <xdr:row>30</xdr:row>
      <xdr:rowOff>28575</xdr:rowOff>
    </xdr:to>
    <xdr:sp macro="" textlink="">
      <xdr:nvSpPr>
        <xdr:cNvPr id="53521" name="Arc 196">
          <a:extLst>
            <a:ext uri="{FF2B5EF4-FFF2-40B4-BE49-F238E27FC236}">
              <a16:creationId xmlns:a16="http://schemas.microsoft.com/office/drawing/2014/main" id="{7E1C1A85-3FDD-498D-A966-8C978945C5A0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0</xdr:colOff>
      <xdr:row>30</xdr:row>
      <xdr:rowOff>47625</xdr:rowOff>
    </xdr:to>
    <xdr:sp macro="" textlink="">
      <xdr:nvSpPr>
        <xdr:cNvPr id="53522" name="Arc 197">
          <a:extLst>
            <a:ext uri="{FF2B5EF4-FFF2-40B4-BE49-F238E27FC236}">
              <a16:creationId xmlns:a16="http://schemas.microsoft.com/office/drawing/2014/main" id="{6F1253A4-6997-4927-909B-40C211B0BC9B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28575</xdr:rowOff>
    </xdr:from>
    <xdr:to>
      <xdr:col>29</xdr:col>
      <xdr:colOff>0</xdr:colOff>
      <xdr:row>30</xdr:row>
      <xdr:rowOff>85725</xdr:rowOff>
    </xdr:to>
    <xdr:sp macro="" textlink="">
      <xdr:nvSpPr>
        <xdr:cNvPr id="53523" name="Arc 198">
          <a:extLst>
            <a:ext uri="{FF2B5EF4-FFF2-40B4-BE49-F238E27FC236}">
              <a16:creationId xmlns:a16="http://schemas.microsoft.com/office/drawing/2014/main" id="{4B019EC1-6315-49F8-852D-47298315872F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89</xdr:row>
      <xdr:rowOff>28575</xdr:rowOff>
    </xdr:from>
    <xdr:to>
      <xdr:col>29</xdr:col>
      <xdr:colOff>0</xdr:colOff>
      <xdr:row>89</xdr:row>
      <xdr:rowOff>85725</xdr:rowOff>
    </xdr:to>
    <xdr:sp macro="" textlink="">
      <xdr:nvSpPr>
        <xdr:cNvPr id="53524" name="Line 199">
          <a:extLst>
            <a:ext uri="{FF2B5EF4-FFF2-40B4-BE49-F238E27FC236}">
              <a16:creationId xmlns:a16="http://schemas.microsoft.com/office/drawing/2014/main" id="{02ACFAA3-669E-4518-AF3E-53843DC32922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24396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89</xdr:row>
      <xdr:rowOff>9525</xdr:rowOff>
    </xdr:from>
    <xdr:to>
      <xdr:col>29</xdr:col>
      <xdr:colOff>0</xdr:colOff>
      <xdr:row>89</xdr:row>
      <xdr:rowOff>76200</xdr:rowOff>
    </xdr:to>
    <xdr:sp macro="" textlink="">
      <xdr:nvSpPr>
        <xdr:cNvPr id="53525" name="Line 200">
          <a:extLst>
            <a:ext uri="{FF2B5EF4-FFF2-40B4-BE49-F238E27FC236}">
              <a16:creationId xmlns:a16="http://schemas.microsoft.com/office/drawing/2014/main" id="{4681C179-32FF-4AA9-9855-B0EEC6B71482}"/>
            </a:ext>
          </a:extLst>
        </xdr:cNvPr>
        <xdr:cNvSpPr>
          <a:spLocks noChangeShapeType="1"/>
        </xdr:cNvSpPr>
      </xdr:nvSpPr>
      <xdr:spPr bwMode="auto">
        <a:xfrm flipV="1">
          <a:off x="2009775" y="124206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89</xdr:row>
      <xdr:rowOff>57150</xdr:rowOff>
    </xdr:from>
    <xdr:to>
      <xdr:col>29</xdr:col>
      <xdr:colOff>0</xdr:colOff>
      <xdr:row>89</xdr:row>
      <xdr:rowOff>57150</xdr:rowOff>
    </xdr:to>
    <xdr:sp macro="" textlink="">
      <xdr:nvSpPr>
        <xdr:cNvPr id="53526" name="Line 201">
          <a:extLst>
            <a:ext uri="{FF2B5EF4-FFF2-40B4-BE49-F238E27FC236}">
              <a16:creationId xmlns:a16="http://schemas.microsoft.com/office/drawing/2014/main" id="{EE006EB3-4742-437C-A3F4-73FEDF6B93D2}"/>
            </a:ext>
          </a:extLst>
        </xdr:cNvPr>
        <xdr:cNvSpPr>
          <a:spLocks noChangeShapeType="1"/>
        </xdr:cNvSpPr>
      </xdr:nvSpPr>
      <xdr:spPr bwMode="auto">
        <a:xfrm flipH="1">
          <a:off x="2009775" y="1246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29</xdr:row>
      <xdr:rowOff>152400</xdr:rowOff>
    </xdr:from>
    <xdr:to>
      <xdr:col>29</xdr:col>
      <xdr:colOff>0</xdr:colOff>
      <xdr:row>30</xdr:row>
      <xdr:rowOff>66675</xdr:rowOff>
    </xdr:to>
    <xdr:sp macro="" textlink="">
      <xdr:nvSpPr>
        <xdr:cNvPr id="53527" name="Line 202">
          <a:extLst>
            <a:ext uri="{FF2B5EF4-FFF2-40B4-BE49-F238E27FC236}">
              <a16:creationId xmlns:a16="http://schemas.microsoft.com/office/drawing/2014/main" id="{376E52A3-4C0B-4D91-A1F6-532155E0B613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29</xdr:row>
      <xdr:rowOff>0</xdr:rowOff>
    </xdr:from>
    <xdr:to>
      <xdr:col>31</xdr:col>
      <xdr:colOff>0</xdr:colOff>
      <xdr:row>30</xdr:row>
      <xdr:rowOff>28575</xdr:rowOff>
    </xdr:to>
    <xdr:sp macro="" textlink="">
      <xdr:nvSpPr>
        <xdr:cNvPr id="53528" name="Arc 203">
          <a:extLst>
            <a:ext uri="{FF2B5EF4-FFF2-40B4-BE49-F238E27FC236}">
              <a16:creationId xmlns:a16="http://schemas.microsoft.com/office/drawing/2014/main" id="{45CA6998-DFB4-4F07-AD40-873F5892CB0B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29</xdr:row>
      <xdr:rowOff>0</xdr:rowOff>
    </xdr:from>
    <xdr:to>
      <xdr:col>31</xdr:col>
      <xdr:colOff>0</xdr:colOff>
      <xdr:row>30</xdr:row>
      <xdr:rowOff>47625</xdr:rowOff>
    </xdr:to>
    <xdr:sp macro="" textlink="">
      <xdr:nvSpPr>
        <xdr:cNvPr id="53529" name="Arc 204">
          <a:extLst>
            <a:ext uri="{FF2B5EF4-FFF2-40B4-BE49-F238E27FC236}">
              <a16:creationId xmlns:a16="http://schemas.microsoft.com/office/drawing/2014/main" id="{D17EB022-181A-4233-A859-D4D5A3CF4BC4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29</xdr:row>
      <xdr:rowOff>28575</xdr:rowOff>
    </xdr:from>
    <xdr:to>
      <xdr:col>31</xdr:col>
      <xdr:colOff>0</xdr:colOff>
      <xdr:row>30</xdr:row>
      <xdr:rowOff>85725</xdr:rowOff>
    </xdr:to>
    <xdr:sp macro="" textlink="">
      <xdr:nvSpPr>
        <xdr:cNvPr id="53530" name="Arc 205">
          <a:extLst>
            <a:ext uri="{FF2B5EF4-FFF2-40B4-BE49-F238E27FC236}">
              <a16:creationId xmlns:a16="http://schemas.microsoft.com/office/drawing/2014/main" id="{1F077193-9F36-4040-AA9C-F3781AF7A74E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12</xdr:row>
      <xdr:rowOff>28575</xdr:rowOff>
    </xdr:from>
    <xdr:to>
      <xdr:col>31</xdr:col>
      <xdr:colOff>0</xdr:colOff>
      <xdr:row>12</xdr:row>
      <xdr:rowOff>85725</xdr:rowOff>
    </xdr:to>
    <xdr:sp macro="" textlink="">
      <xdr:nvSpPr>
        <xdr:cNvPr id="53531" name="Line 206">
          <a:extLst>
            <a:ext uri="{FF2B5EF4-FFF2-40B4-BE49-F238E27FC236}">
              <a16:creationId xmlns:a16="http://schemas.microsoft.com/office/drawing/2014/main" id="{04970914-940A-4181-9AD5-1B74C0BA1B6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2668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76200</xdr:rowOff>
    </xdr:to>
    <xdr:sp macro="" textlink="">
      <xdr:nvSpPr>
        <xdr:cNvPr id="53532" name="Line 207">
          <a:extLst>
            <a:ext uri="{FF2B5EF4-FFF2-40B4-BE49-F238E27FC236}">
              <a16:creationId xmlns:a16="http://schemas.microsoft.com/office/drawing/2014/main" id="{8A22E847-D7C0-4E14-9902-91DE7C74C46E}"/>
            </a:ext>
          </a:extLst>
        </xdr:cNvPr>
        <xdr:cNvSpPr>
          <a:spLocks noChangeShapeType="1"/>
        </xdr:cNvSpPr>
      </xdr:nvSpPr>
      <xdr:spPr bwMode="auto">
        <a:xfrm flipV="1">
          <a:off x="2009775" y="12477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12</xdr:row>
      <xdr:rowOff>57150</xdr:rowOff>
    </xdr:from>
    <xdr:to>
      <xdr:col>31</xdr:col>
      <xdr:colOff>0</xdr:colOff>
      <xdr:row>12</xdr:row>
      <xdr:rowOff>57150</xdr:rowOff>
    </xdr:to>
    <xdr:sp macro="" textlink="">
      <xdr:nvSpPr>
        <xdr:cNvPr id="53533" name="Line 208">
          <a:extLst>
            <a:ext uri="{FF2B5EF4-FFF2-40B4-BE49-F238E27FC236}">
              <a16:creationId xmlns:a16="http://schemas.microsoft.com/office/drawing/2014/main" id="{5B6D692C-85D5-45EA-824F-8D302D14DF78}"/>
            </a:ext>
          </a:extLst>
        </xdr:cNvPr>
        <xdr:cNvSpPr>
          <a:spLocks noChangeShapeType="1"/>
        </xdr:cNvSpPr>
      </xdr:nvSpPr>
      <xdr:spPr bwMode="auto">
        <a:xfrm flipH="1">
          <a:off x="2009775" y="129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29</xdr:row>
      <xdr:rowOff>152400</xdr:rowOff>
    </xdr:from>
    <xdr:to>
      <xdr:col>31</xdr:col>
      <xdr:colOff>0</xdr:colOff>
      <xdr:row>30</xdr:row>
      <xdr:rowOff>66675</xdr:rowOff>
    </xdr:to>
    <xdr:sp macro="" textlink="">
      <xdr:nvSpPr>
        <xdr:cNvPr id="53534" name="Line 209">
          <a:extLst>
            <a:ext uri="{FF2B5EF4-FFF2-40B4-BE49-F238E27FC236}">
              <a16:creationId xmlns:a16="http://schemas.microsoft.com/office/drawing/2014/main" id="{DE70DF3A-56AA-49F9-9093-1284EFFDD372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0</xdr:rowOff>
    </xdr:from>
    <xdr:to>
      <xdr:col>33</xdr:col>
      <xdr:colOff>0</xdr:colOff>
      <xdr:row>30</xdr:row>
      <xdr:rowOff>28575</xdr:rowOff>
    </xdr:to>
    <xdr:sp macro="" textlink="">
      <xdr:nvSpPr>
        <xdr:cNvPr id="53535" name="Arc 210">
          <a:extLst>
            <a:ext uri="{FF2B5EF4-FFF2-40B4-BE49-F238E27FC236}">
              <a16:creationId xmlns:a16="http://schemas.microsoft.com/office/drawing/2014/main" id="{2446DB7B-DCA3-4BF0-8EC8-4C06CB415E72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0</xdr:rowOff>
    </xdr:from>
    <xdr:to>
      <xdr:col>33</xdr:col>
      <xdr:colOff>0</xdr:colOff>
      <xdr:row>30</xdr:row>
      <xdr:rowOff>47625</xdr:rowOff>
    </xdr:to>
    <xdr:sp macro="" textlink="">
      <xdr:nvSpPr>
        <xdr:cNvPr id="53536" name="Arc 211">
          <a:extLst>
            <a:ext uri="{FF2B5EF4-FFF2-40B4-BE49-F238E27FC236}">
              <a16:creationId xmlns:a16="http://schemas.microsoft.com/office/drawing/2014/main" id="{309D1634-BCEA-40C5-90F8-2C992913AA2B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28575</xdr:rowOff>
    </xdr:from>
    <xdr:to>
      <xdr:col>33</xdr:col>
      <xdr:colOff>0</xdr:colOff>
      <xdr:row>30</xdr:row>
      <xdr:rowOff>85725</xdr:rowOff>
    </xdr:to>
    <xdr:sp macro="" textlink="">
      <xdr:nvSpPr>
        <xdr:cNvPr id="53537" name="Arc 212">
          <a:extLst>
            <a:ext uri="{FF2B5EF4-FFF2-40B4-BE49-F238E27FC236}">
              <a16:creationId xmlns:a16="http://schemas.microsoft.com/office/drawing/2014/main" id="{08DE595D-ED2C-4EA2-B224-BD9FE5DA847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28575</xdr:rowOff>
    </xdr:from>
    <xdr:to>
      <xdr:col>33</xdr:col>
      <xdr:colOff>0</xdr:colOff>
      <xdr:row>13</xdr:row>
      <xdr:rowOff>85725</xdr:rowOff>
    </xdr:to>
    <xdr:sp macro="" textlink="">
      <xdr:nvSpPr>
        <xdr:cNvPr id="53538" name="Line 213">
          <a:extLst>
            <a:ext uri="{FF2B5EF4-FFF2-40B4-BE49-F238E27FC236}">
              <a16:creationId xmlns:a16="http://schemas.microsoft.com/office/drawing/2014/main" id="{FD14F4D1-B05F-4C32-9F84-9258E0392383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4287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9525</xdr:rowOff>
    </xdr:from>
    <xdr:to>
      <xdr:col>33</xdr:col>
      <xdr:colOff>0</xdr:colOff>
      <xdr:row>13</xdr:row>
      <xdr:rowOff>76200</xdr:rowOff>
    </xdr:to>
    <xdr:sp macro="" textlink="">
      <xdr:nvSpPr>
        <xdr:cNvPr id="53539" name="Line 214">
          <a:extLst>
            <a:ext uri="{FF2B5EF4-FFF2-40B4-BE49-F238E27FC236}">
              <a16:creationId xmlns:a16="http://schemas.microsoft.com/office/drawing/2014/main" id="{4227B24A-0F3C-4690-89D5-385824F84DF9}"/>
            </a:ext>
          </a:extLst>
        </xdr:cNvPr>
        <xdr:cNvSpPr>
          <a:spLocks noChangeShapeType="1"/>
        </xdr:cNvSpPr>
      </xdr:nvSpPr>
      <xdr:spPr bwMode="auto">
        <a:xfrm flipV="1">
          <a:off x="2009775" y="14097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57150</xdr:rowOff>
    </xdr:from>
    <xdr:to>
      <xdr:col>33</xdr:col>
      <xdr:colOff>0</xdr:colOff>
      <xdr:row>13</xdr:row>
      <xdr:rowOff>57150</xdr:rowOff>
    </xdr:to>
    <xdr:sp macro="" textlink="">
      <xdr:nvSpPr>
        <xdr:cNvPr id="53540" name="Line 215">
          <a:extLst>
            <a:ext uri="{FF2B5EF4-FFF2-40B4-BE49-F238E27FC236}">
              <a16:creationId xmlns:a16="http://schemas.microsoft.com/office/drawing/2014/main" id="{4B82016E-2F31-46E6-A241-E2A56C467D71}"/>
            </a:ext>
          </a:extLst>
        </xdr:cNvPr>
        <xdr:cNvSpPr>
          <a:spLocks noChangeShapeType="1"/>
        </xdr:cNvSpPr>
      </xdr:nvSpPr>
      <xdr:spPr bwMode="auto">
        <a:xfrm flipH="1">
          <a:off x="2009775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152400</xdr:rowOff>
    </xdr:from>
    <xdr:to>
      <xdr:col>33</xdr:col>
      <xdr:colOff>0</xdr:colOff>
      <xdr:row>30</xdr:row>
      <xdr:rowOff>66675</xdr:rowOff>
    </xdr:to>
    <xdr:sp macro="" textlink="">
      <xdr:nvSpPr>
        <xdr:cNvPr id="53541" name="Line 216">
          <a:extLst>
            <a:ext uri="{FF2B5EF4-FFF2-40B4-BE49-F238E27FC236}">
              <a16:creationId xmlns:a16="http://schemas.microsoft.com/office/drawing/2014/main" id="{E8ED54D7-1817-4910-8323-D875AC57F484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0</xdr:rowOff>
    </xdr:from>
    <xdr:to>
      <xdr:col>33</xdr:col>
      <xdr:colOff>0</xdr:colOff>
      <xdr:row>30</xdr:row>
      <xdr:rowOff>28575</xdr:rowOff>
    </xdr:to>
    <xdr:sp macro="" textlink="">
      <xdr:nvSpPr>
        <xdr:cNvPr id="53542" name="Arc 217">
          <a:extLst>
            <a:ext uri="{FF2B5EF4-FFF2-40B4-BE49-F238E27FC236}">
              <a16:creationId xmlns:a16="http://schemas.microsoft.com/office/drawing/2014/main" id="{E8E6B1AD-759E-42E0-AD86-F1B19E7DC505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0</xdr:rowOff>
    </xdr:from>
    <xdr:to>
      <xdr:col>33</xdr:col>
      <xdr:colOff>0</xdr:colOff>
      <xdr:row>30</xdr:row>
      <xdr:rowOff>47625</xdr:rowOff>
    </xdr:to>
    <xdr:sp macro="" textlink="">
      <xdr:nvSpPr>
        <xdr:cNvPr id="53543" name="Arc 218">
          <a:extLst>
            <a:ext uri="{FF2B5EF4-FFF2-40B4-BE49-F238E27FC236}">
              <a16:creationId xmlns:a16="http://schemas.microsoft.com/office/drawing/2014/main" id="{39AF6A85-2769-441D-9D1C-049F92F633E2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28575</xdr:rowOff>
    </xdr:from>
    <xdr:to>
      <xdr:col>33</xdr:col>
      <xdr:colOff>0</xdr:colOff>
      <xdr:row>30</xdr:row>
      <xdr:rowOff>85725</xdr:rowOff>
    </xdr:to>
    <xdr:sp macro="" textlink="">
      <xdr:nvSpPr>
        <xdr:cNvPr id="53544" name="Arc 219">
          <a:extLst>
            <a:ext uri="{FF2B5EF4-FFF2-40B4-BE49-F238E27FC236}">
              <a16:creationId xmlns:a16="http://schemas.microsoft.com/office/drawing/2014/main" id="{D81E17A8-3382-4DBF-BC9B-A9BA0E973793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28575</xdr:rowOff>
    </xdr:from>
    <xdr:to>
      <xdr:col>33</xdr:col>
      <xdr:colOff>0</xdr:colOff>
      <xdr:row>13</xdr:row>
      <xdr:rowOff>85725</xdr:rowOff>
    </xdr:to>
    <xdr:sp macro="" textlink="">
      <xdr:nvSpPr>
        <xdr:cNvPr id="53545" name="Line 220">
          <a:extLst>
            <a:ext uri="{FF2B5EF4-FFF2-40B4-BE49-F238E27FC236}">
              <a16:creationId xmlns:a16="http://schemas.microsoft.com/office/drawing/2014/main" id="{9C78055E-A3BC-4BBA-9F43-8502740C49C6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4287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9525</xdr:rowOff>
    </xdr:from>
    <xdr:to>
      <xdr:col>33</xdr:col>
      <xdr:colOff>0</xdr:colOff>
      <xdr:row>13</xdr:row>
      <xdr:rowOff>76200</xdr:rowOff>
    </xdr:to>
    <xdr:sp macro="" textlink="">
      <xdr:nvSpPr>
        <xdr:cNvPr id="53546" name="Line 221">
          <a:extLst>
            <a:ext uri="{FF2B5EF4-FFF2-40B4-BE49-F238E27FC236}">
              <a16:creationId xmlns:a16="http://schemas.microsoft.com/office/drawing/2014/main" id="{B4A7824D-3E7D-49DA-B33A-05D3609A0934}"/>
            </a:ext>
          </a:extLst>
        </xdr:cNvPr>
        <xdr:cNvSpPr>
          <a:spLocks noChangeShapeType="1"/>
        </xdr:cNvSpPr>
      </xdr:nvSpPr>
      <xdr:spPr bwMode="auto">
        <a:xfrm flipV="1">
          <a:off x="2009775" y="14097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57150</xdr:rowOff>
    </xdr:from>
    <xdr:to>
      <xdr:col>33</xdr:col>
      <xdr:colOff>0</xdr:colOff>
      <xdr:row>13</xdr:row>
      <xdr:rowOff>57150</xdr:rowOff>
    </xdr:to>
    <xdr:sp macro="" textlink="">
      <xdr:nvSpPr>
        <xdr:cNvPr id="53547" name="Line 222">
          <a:extLst>
            <a:ext uri="{FF2B5EF4-FFF2-40B4-BE49-F238E27FC236}">
              <a16:creationId xmlns:a16="http://schemas.microsoft.com/office/drawing/2014/main" id="{3BA2D61C-D57D-4340-9A7F-AF7D746FFC72}"/>
            </a:ext>
          </a:extLst>
        </xdr:cNvPr>
        <xdr:cNvSpPr>
          <a:spLocks noChangeShapeType="1"/>
        </xdr:cNvSpPr>
      </xdr:nvSpPr>
      <xdr:spPr bwMode="auto">
        <a:xfrm flipH="1">
          <a:off x="2009775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152400</xdr:rowOff>
    </xdr:from>
    <xdr:to>
      <xdr:col>33</xdr:col>
      <xdr:colOff>0</xdr:colOff>
      <xdr:row>30</xdr:row>
      <xdr:rowOff>66675</xdr:rowOff>
    </xdr:to>
    <xdr:sp macro="" textlink="">
      <xdr:nvSpPr>
        <xdr:cNvPr id="53548" name="Line 223">
          <a:extLst>
            <a:ext uri="{FF2B5EF4-FFF2-40B4-BE49-F238E27FC236}">
              <a16:creationId xmlns:a16="http://schemas.microsoft.com/office/drawing/2014/main" id="{02543F1E-D208-48D3-A4CD-96177E808B94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29</xdr:row>
      <xdr:rowOff>0</xdr:rowOff>
    </xdr:from>
    <xdr:to>
      <xdr:col>35</xdr:col>
      <xdr:colOff>0</xdr:colOff>
      <xdr:row>30</xdr:row>
      <xdr:rowOff>28575</xdr:rowOff>
    </xdr:to>
    <xdr:sp macro="" textlink="">
      <xdr:nvSpPr>
        <xdr:cNvPr id="53549" name="Arc 224">
          <a:extLst>
            <a:ext uri="{FF2B5EF4-FFF2-40B4-BE49-F238E27FC236}">
              <a16:creationId xmlns:a16="http://schemas.microsoft.com/office/drawing/2014/main" id="{C96AC208-DF46-41B9-875E-F995E42A579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29</xdr:row>
      <xdr:rowOff>0</xdr:rowOff>
    </xdr:from>
    <xdr:to>
      <xdr:col>35</xdr:col>
      <xdr:colOff>0</xdr:colOff>
      <xdr:row>30</xdr:row>
      <xdr:rowOff>47625</xdr:rowOff>
    </xdr:to>
    <xdr:sp macro="" textlink="">
      <xdr:nvSpPr>
        <xdr:cNvPr id="53550" name="Arc 225">
          <a:extLst>
            <a:ext uri="{FF2B5EF4-FFF2-40B4-BE49-F238E27FC236}">
              <a16:creationId xmlns:a16="http://schemas.microsoft.com/office/drawing/2014/main" id="{6655DA50-9469-4C5B-BB79-7D667B8BA256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29</xdr:row>
      <xdr:rowOff>28575</xdr:rowOff>
    </xdr:from>
    <xdr:to>
      <xdr:col>35</xdr:col>
      <xdr:colOff>0</xdr:colOff>
      <xdr:row>30</xdr:row>
      <xdr:rowOff>85725</xdr:rowOff>
    </xdr:to>
    <xdr:sp macro="" textlink="">
      <xdr:nvSpPr>
        <xdr:cNvPr id="53551" name="Arc 226">
          <a:extLst>
            <a:ext uri="{FF2B5EF4-FFF2-40B4-BE49-F238E27FC236}">
              <a16:creationId xmlns:a16="http://schemas.microsoft.com/office/drawing/2014/main" id="{F310A8BD-85DC-40C5-B8BD-176B20F2C959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81</xdr:row>
      <xdr:rowOff>28575</xdr:rowOff>
    </xdr:from>
    <xdr:to>
      <xdr:col>35</xdr:col>
      <xdr:colOff>0</xdr:colOff>
      <xdr:row>81</xdr:row>
      <xdr:rowOff>85725</xdr:rowOff>
    </xdr:to>
    <xdr:sp macro="" textlink="">
      <xdr:nvSpPr>
        <xdr:cNvPr id="53552" name="Line 227">
          <a:extLst>
            <a:ext uri="{FF2B5EF4-FFF2-40B4-BE49-F238E27FC236}">
              <a16:creationId xmlns:a16="http://schemas.microsoft.com/office/drawing/2014/main" id="{CC60E054-9E59-4F62-BA8C-609DAC72E732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5162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81</xdr:row>
      <xdr:rowOff>9525</xdr:rowOff>
    </xdr:from>
    <xdr:to>
      <xdr:col>35</xdr:col>
      <xdr:colOff>0</xdr:colOff>
      <xdr:row>81</xdr:row>
      <xdr:rowOff>76200</xdr:rowOff>
    </xdr:to>
    <xdr:sp macro="" textlink="">
      <xdr:nvSpPr>
        <xdr:cNvPr id="53553" name="Line 228">
          <a:extLst>
            <a:ext uri="{FF2B5EF4-FFF2-40B4-BE49-F238E27FC236}">
              <a16:creationId xmlns:a16="http://schemas.microsoft.com/office/drawing/2014/main" id="{1C200576-2814-402A-BF4F-E6048AC520A9}"/>
            </a:ext>
          </a:extLst>
        </xdr:cNvPr>
        <xdr:cNvSpPr>
          <a:spLocks noChangeShapeType="1"/>
        </xdr:cNvSpPr>
      </xdr:nvSpPr>
      <xdr:spPr bwMode="auto">
        <a:xfrm flipV="1">
          <a:off x="2009775" y="154971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81</xdr:row>
      <xdr:rowOff>57150</xdr:rowOff>
    </xdr:from>
    <xdr:to>
      <xdr:col>35</xdr:col>
      <xdr:colOff>0</xdr:colOff>
      <xdr:row>81</xdr:row>
      <xdr:rowOff>57150</xdr:rowOff>
    </xdr:to>
    <xdr:sp macro="" textlink="">
      <xdr:nvSpPr>
        <xdr:cNvPr id="53554" name="Line 229">
          <a:extLst>
            <a:ext uri="{FF2B5EF4-FFF2-40B4-BE49-F238E27FC236}">
              <a16:creationId xmlns:a16="http://schemas.microsoft.com/office/drawing/2014/main" id="{E162CEF9-FAED-4E72-89AD-61032DDC4699}"/>
            </a:ext>
          </a:extLst>
        </xdr:cNvPr>
        <xdr:cNvSpPr>
          <a:spLocks noChangeShapeType="1"/>
        </xdr:cNvSpPr>
      </xdr:nvSpPr>
      <xdr:spPr bwMode="auto">
        <a:xfrm flipH="1">
          <a:off x="2009775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29</xdr:row>
      <xdr:rowOff>152400</xdr:rowOff>
    </xdr:from>
    <xdr:to>
      <xdr:col>35</xdr:col>
      <xdr:colOff>0</xdr:colOff>
      <xdr:row>30</xdr:row>
      <xdr:rowOff>66675</xdr:rowOff>
    </xdr:to>
    <xdr:sp macro="" textlink="">
      <xdr:nvSpPr>
        <xdr:cNvPr id="53555" name="Line 230">
          <a:extLst>
            <a:ext uri="{FF2B5EF4-FFF2-40B4-BE49-F238E27FC236}">
              <a16:creationId xmlns:a16="http://schemas.microsoft.com/office/drawing/2014/main" id="{7008376A-CCB5-449A-B4AC-A5E393CC245C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0</xdr:rowOff>
    </xdr:from>
    <xdr:to>
      <xdr:col>37</xdr:col>
      <xdr:colOff>0</xdr:colOff>
      <xdr:row>30</xdr:row>
      <xdr:rowOff>28575</xdr:rowOff>
    </xdr:to>
    <xdr:sp macro="" textlink="">
      <xdr:nvSpPr>
        <xdr:cNvPr id="53556" name="Arc 231">
          <a:extLst>
            <a:ext uri="{FF2B5EF4-FFF2-40B4-BE49-F238E27FC236}">
              <a16:creationId xmlns:a16="http://schemas.microsoft.com/office/drawing/2014/main" id="{94EE3222-6E0D-43B7-BDA7-B0BFD7C77F9C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0</xdr:rowOff>
    </xdr:from>
    <xdr:to>
      <xdr:col>37</xdr:col>
      <xdr:colOff>0</xdr:colOff>
      <xdr:row>30</xdr:row>
      <xdr:rowOff>47625</xdr:rowOff>
    </xdr:to>
    <xdr:sp macro="" textlink="">
      <xdr:nvSpPr>
        <xdr:cNvPr id="53557" name="Arc 232">
          <a:extLst>
            <a:ext uri="{FF2B5EF4-FFF2-40B4-BE49-F238E27FC236}">
              <a16:creationId xmlns:a16="http://schemas.microsoft.com/office/drawing/2014/main" id="{13B1D8C8-AB70-4E05-A8FA-6E2DD80ADB8C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28575</xdr:rowOff>
    </xdr:from>
    <xdr:to>
      <xdr:col>37</xdr:col>
      <xdr:colOff>0</xdr:colOff>
      <xdr:row>30</xdr:row>
      <xdr:rowOff>85725</xdr:rowOff>
    </xdr:to>
    <xdr:sp macro="" textlink="">
      <xdr:nvSpPr>
        <xdr:cNvPr id="53558" name="Arc 233">
          <a:extLst>
            <a:ext uri="{FF2B5EF4-FFF2-40B4-BE49-F238E27FC236}">
              <a16:creationId xmlns:a16="http://schemas.microsoft.com/office/drawing/2014/main" id="{533A6AD6-5C00-47C7-B8AA-30044905EC6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28575</xdr:rowOff>
    </xdr:from>
    <xdr:to>
      <xdr:col>37</xdr:col>
      <xdr:colOff>0</xdr:colOff>
      <xdr:row>45</xdr:row>
      <xdr:rowOff>85725</xdr:rowOff>
    </xdr:to>
    <xdr:sp macro="" textlink="">
      <xdr:nvSpPr>
        <xdr:cNvPr id="53559" name="Line 234">
          <a:extLst>
            <a:ext uri="{FF2B5EF4-FFF2-40B4-BE49-F238E27FC236}">
              <a16:creationId xmlns:a16="http://schemas.microsoft.com/office/drawing/2014/main" id="{23616C04-0ECF-4DE6-9114-F9F344907892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0304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9525</xdr:rowOff>
    </xdr:from>
    <xdr:to>
      <xdr:col>37</xdr:col>
      <xdr:colOff>0</xdr:colOff>
      <xdr:row>45</xdr:row>
      <xdr:rowOff>76200</xdr:rowOff>
    </xdr:to>
    <xdr:sp macro="" textlink="">
      <xdr:nvSpPr>
        <xdr:cNvPr id="53560" name="Line 235">
          <a:extLst>
            <a:ext uri="{FF2B5EF4-FFF2-40B4-BE49-F238E27FC236}">
              <a16:creationId xmlns:a16="http://schemas.microsoft.com/office/drawing/2014/main" id="{11DE329F-9E2B-492A-9993-D0F79D0FF244}"/>
            </a:ext>
          </a:extLst>
        </xdr:cNvPr>
        <xdr:cNvSpPr>
          <a:spLocks noChangeShapeType="1"/>
        </xdr:cNvSpPr>
      </xdr:nvSpPr>
      <xdr:spPr bwMode="auto">
        <a:xfrm flipV="1">
          <a:off x="2009775" y="150114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57150</xdr:rowOff>
    </xdr:from>
    <xdr:to>
      <xdr:col>37</xdr:col>
      <xdr:colOff>0</xdr:colOff>
      <xdr:row>45</xdr:row>
      <xdr:rowOff>57150</xdr:rowOff>
    </xdr:to>
    <xdr:sp macro="" textlink="">
      <xdr:nvSpPr>
        <xdr:cNvPr id="53561" name="Line 236">
          <a:extLst>
            <a:ext uri="{FF2B5EF4-FFF2-40B4-BE49-F238E27FC236}">
              <a16:creationId xmlns:a16="http://schemas.microsoft.com/office/drawing/2014/main" id="{7D13A458-F406-4A6F-AA0F-AD87C0475887}"/>
            </a:ext>
          </a:extLst>
        </xdr:cNvPr>
        <xdr:cNvSpPr>
          <a:spLocks noChangeShapeType="1"/>
        </xdr:cNvSpPr>
      </xdr:nvSpPr>
      <xdr:spPr bwMode="auto">
        <a:xfrm flipH="1">
          <a:off x="2009775" y="15059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152400</xdr:rowOff>
    </xdr:from>
    <xdr:to>
      <xdr:col>37</xdr:col>
      <xdr:colOff>0</xdr:colOff>
      <xdr:row>30</xdr:row>
      <xdr:rowOff>66675</xdr:rowOff>
    </xdr:to>
    <xdr:sp macro="" textlink="">
      <xdr:nvSpPr>
        <xdr:cNvPr id="53562" name="Line 237">
          <a:extLst>
            <a:ext uri="{FF2B5EF4-FFF2-40B4-BE49-F238E27FC236}">
              <a16:creationId xmlns:a16="http://schemas.microsoft.com/office/drawing/2014/main" id="{49172AE0-A90F-4CA4-B09D-8644132980E6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0</xdr:rowOff>
    </xdr:from>
    <xdr:to>
      <xdr:col>37</xdr:col>
      <xdr:colOff>0</xdr:colOff>
      <xdr:row>30</xdr:row>
      <xdr:rowOff>28575</xdr:rowOff>
    </xdr:to>
    <xdr:sp macro="" textlink="">
      <xdr:nvSpPr>
        <xdr:cNvPr id="53563" name="Arc 238">
          <a:extLst>
            <a:ext uri="{FF2B5EF4-FFF2-40B4-BE49-F238E27FC236}">
              <a16:creationId xmlns:a16="http://schemas.microsoft.com/office/drawing/2014/main" id="{20A88C2B-E019-4B0F-BC47-E200857E731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0</xdr:rowOff>
    </xdr:from>
    <xdr:to>
      <xdr:col>37</xdr:col>
      <xdr:colOff>0</xdr:colOff>
      <xdr:row>30</xdr:row>
      <xdr:rowOff>47625</xdr:rowOff>
    </xdr:to>
    <xdr:sp macro="" textlink="">
      <xdr:nvSpPr>
        <xdr:cNvPr id="53564" name="Arc 239">
          <a:extLst>
            <a:ext uri="{FF2B5EF4-FFF2-40B4-BE49-F238E27FC236}">
              <a16:creationId xmlns:a16="http://schemas.microsoft.com/office/drawing/2014/main" id="{672829AA-7F1C-4437-B505-770CBF626AE3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28575</xdr:rowOff>
    </xdr:from>
    <xdr:to>
      <xdr:col>37</xdr:col>
      <xdr:colOff>0</xdr:colOff>
      <xdr:row>30</xdr:row>
      <xdr:rowOff>85725</xdr:rowOff>
    </xdr:to>
    <xdr:sp macro="" textlink="">
      <xdr:nvSpPr>
        <xdr:cNvPr id="53565" name="Arc 240">
          <a:extLst>
            <a:ext uri="{FF2B5EF4-FFF2-40B4-BE49-F238E27FC236}">
              <a16:creationId xmlns:a16="http://schemas.microsoft.com/office/drawing/2014/main" id="{A16328B0-9FE8-476F-BC66-E80731A24778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28575</xdr:rowOff>
    </xdr:from>
    <xdr:to>
      <xdr:col>37</xdr:col>
      <xdr:colOff>0</xdr:colOff>
      <xdr:row>42</xdr:row>
      <xdr:rowOff>85725</xdr:rowOff>
    </xdr:to>
    <xdr:sp macro="" textlink="">
      <xdr:nvSpPr>
        <xdr:cNvPr id="53566" name="Line 241">
          <a:extLst>
            <a:ext uri="{FF2B5EF4-FFF2-40B4-BE49-F238E27FC236}">
              <a16:creationId xmlns:a16="http://schemas.microsoft.com/office/drawing/2014/main" id="{807BAC63-9F73-4460-9AE6-6985197E181F}"/>
            </a:ext>
          </a:extLst>
        </xdr:cNvPr>
        <xdr:cNvSpPr>
          <a:spLocks noChangeShapeType="1"/>
        </xdr:cNvSpPr>
      </xdr:nvSpPr>
      <xdr:spPr bwMode="auto">
        <a:xfrm flipH="1" flipV="1">
          <a:off x="2009775" y="56388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9525</xdr:rowOff>
    </xdr:from>
    <xdr:to>
      <xdr:col>37</xdr:col>
      <xdr:colOff>0</xdr:colOff>
      <xdr:row>42</xdr:row>
      <xdr:rowOff>76200</xdr:rowOff>
    </xdr:to>
    <xdr:sp macro="" textlink="">
      <xdr:nvSpPr>
        <xdr:cNvPr id="53567" name="Line 242">
          <a:extLst>
            <a:ext uri="{FF2B5EF4-FFF2-40B4-BE49-F238E27FC236}">
              <a16:creationId xmlns:a16="http://schemas.microsoft.com/office/drawing/2014/main" id="{E3FF85DE-711C-44D0-B427-C31209E237A0}"/>
            </a:ext>
          </a:extLst>
        </xdr:cNvPr>
        <xdr:cNvSpPr>
          <a:spLocks noChangeShapeType="1"/>
        </xdr:cNvSpPr>
      </xdr:nvSpPr>
      <xdr:spPr bwMode="auto">
        <a:xfrm flipV="1">
          <a:off x="2009775" y="56197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57150</xdr:rowOff>
    </xdr:from>
    <xdr:to>
      <xdr:col>37</xdr:col>
      <xdr:colOff>0</xdr:colOff>
      <xdr:row>42</xdr:row>
      <xdr:rowOff>57150</xdr:rowOff>
    </xdr:to>
    <xdr:sp macro="" textlink="">
      <xdr:nvSpPr>
        <xdr:cNvPr id="53568" name="Line 243">
          <a:extLst>
            <a:ext uri="{FF2B5EF4-FFF2-40B4-BE49-F238E27FC236}">
              <a16:creationId xmlns:a16="http://schemas.microsoft.com/office/drawing/2014/main" id="{5C0FF48B-7FA9-44FC-850E-DA3B7BB839F1}"/>
            </a:ext>
          </a:extLst>
        </xdr:cNvPr>
        <xdr:cNvSpPr>
          <a:spLocks noChangeShapeType="1"/>
        </xdr:cNvSpPr>
      </xdr:nvSpPr>
      <xdr:spPr bwMode="auto">
        <a:xfrm flipH="1">
          <a:off x="2009775" y="5667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152400</xdr:rowOff>
    </xdr:from>
    <xdr:to>
      <xdr:col>37</xdr:col>
      <xdr:colOff>0</xdr:colOff>
      <xdr:row>30</xdr:row>
      <xdr:rowOff>66675</xdr:rowOff>
    </xdr:to>
    <xdr:sp macro="" textlink="">
      <xdr:nvSpPr>
        <xdr:cNvPr id="53569" name="Line 244">
          <a:extLst>
            <a:ext uri="{FF2B5EF4-FFF2-40B4-BE49-F238E27FC236}">
              <a16:creationId xmlns:a16="http://schemas.microsoft.com/office/drawing/2014/main" id="{420D08BE-89C9-4A9A-828A-283AE939C606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0</xdr:rowOff>
    </xdr:from>
    <xdr:to>
      <xdr:col>37</xdr:col>
      <xdr:colOff>0</xdr:colOff>
      <xdr:row>31</xdr:row>
      <xdr:rowOff>28575</xdr:rowOff>
    </xdr:to>
    <xdr:sp macro="" textlink="">
      <xdr:nvSpPr>
        <xdr:cNvPr id="53570" name="Arc 245">
          <a:extLst>
            <a:ext uri="{FF2B5EF4-FFF2-40B4-BE49-F238E27FC236}">
              <a16:creationId xmlns:a16="http://schemas.microsoft.com/office/drawing/2014/main" id="{6023AC53-4A6B-4F7A-A719-FE454B611509}"/>
            </a:ext>
          </a:extLst>
        </xdr:cNvPr>
        <xdr:cNvSpPr>
          <a:spLocks/>
        </xdr:cNvSpPr>
      </xdr:nvSpPr>
      <xdr:spPr bwMode="auto">
        <a:xfrm flipH="1">
          <a:off x="20097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0</xdr:rowOff>
    </xdr:from>
    <xdr:to>
      <xdr:col>37</xdr:col>
      <xdr:colOff>0</xdr:colOff>
      <xdr:row>31</xdr:row>
      <xdr:rowOff>47625</xdr:rowOff>
    </xdr:to>
    <xdr:sp macro="" textlink="">
      <xdr:nvSpPr>
        <xdr:cNvPr id="53571" name="Arc 246">
          <a:extLst>
            <a:ext uri="{FF2B5EF4-FFF2-40B4-BE49-F238E27FC236}">
              <a16:creationId xmlns:a16="http://schemas.microsoft.com/office/drawing/2014/main" id="{64F50CFE-5AF4-4C3D-87DC-8D212D28994D}"/>
            </a:ext>
          </a:extLst>
        </xdr:cNvPr>
        <xdr:cNvSpPr>
          <a:spLocks/>
        </xdr:cNvSpPr>
      </xdr:nvSpPr>
      <xdr:spPr bwMode="auto">
        <a:xfrm>
          <a:off x="20097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28575</xdr:rowOff>
    </xdr:from>
    <xdr:to>
      <xdr:col>37</xdr:col>
      <xdr:colOff>0</xdr:colOff>
      <xdr:row>31</xdr:row>
      <xdr:rowOff>85725</xdr:rowOff>
    </xdr:to>
    <xdr:sp macro="" textlink="">
      <xdr:nvSpPr>
        <xdr:cNvPr id="53572" name="Arc 247">
          <a:extLst>
            <a:ext uri="{FF2B5EF4-FFF2-40B4-BE49-F238E27FC236}">
              <a16:creationId xmlns:a16="http://schemas.microsoft.com/office/drawing/2014/main" id="{4874FDAD-1ACB-4E14-BFD8-FD7717AA29DF}"/>
            </a:ext>
          </a:extLst>
        </xdr:cNvPr>
        <xdr:cNvSpPr>
          <a:spLocks/>
        </xdr:cNvSpPr>
      </xdr:nvSpPr>
      <xdr:spPr bwMode="auto">
        <a:xfrm>
          <a:off x="20097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38</xdr:row>
      <xdr:rowOff>28575</xdr:rowOff>
    </xdr:from>
    <xdr:to>
      <xdr:col>37</xdr:col>
      <xdr:colOff>0</xdr:colOff>
      <xdr:row>38</xdr:row>
      <xdr:rowOff>85725</xdr:rowOff>
    </xdr:to>
    <xdr:sp macro="" textlink="">
      <xdr:nvSpPr>
        <xdr:cNvPr id="53573" name="Line 248">
          <a:extLst>
            <a:ext uri="{FF2B5EF4-FFF2-40B4-BE49-F238E27FC236}">
              <a16:creationId xmlns:a16="http://schemas.microsoft.com/office/drawing/2014/main" id="{D5FDC3A6-F18F-4E2D-B9DA-2C16CA562CBF}"/>
            </a:ext>
          </a:extLst>
        </xdr:cNvPr>
        <xdr:cNvSpPr>
          <a:spLocks noChangeShapeType="1"/>
        </xdr:cNvSpPr>
      </xdr:nvSpPr>
      <xdr:spPr bwMode="auto">
        <a:xfrm flipH="1" flipV="1">
          <a:off x="2009775" y="35337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38</xdr:row>
      <xdr:rowOff>9525</xdr:rowOff>
    </xdr:from>
    <xdr:to>
      <xdr:col>37</xdr:col>
      <xdr:colOff>0</xdr:colOff>
      <xdr:row>38</xdr:row>
      <xdr:rowOff>76200</xdr:rowOff>
    </xdr:to>
    <xdr:sp macro="" textlink="">
      <xdr:nvSpPr>
        <xdr:cNvPr id="53574" name="Line 249">
          <a:extLst>
            <a:ext uri="{FF2B5EF4-FFF2-40B4-BE49-F238E27FC236}">
              <a16:creationId xmlns:a16="http://schemas.microsoft.com/office/drawing/2014/main" id="{C5BD94C2-E40F-4E09-A0AE-E6F32E335E6C}"/>
            </a:ext>
          </a:extLst>
        </xdr:cNvPr>
        <xdr:cNvSpPr>
          <a:spLocks noChangeShapeType="1"/>
        </xdr:cNvSpPr>
      </xdr:nvSpPr>
      <xdr:spPr bwMode="auto">
        <a:xfrm flipV="1">
          <a:off x="2009775" y="35147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38</xdr:row>
      <xdr:rowOff>57150</xdr:rowOff>
    </xdr:from>
    <xdr:to>
      <xdr:col>37</xdr:col>
      <xdr:colOff>0</xdr:colOff>
      <xdr:row>38</xdr:row>
      <xdr:rowOff>57150</xdr:rowOff>
    </xdr:to>
    <xdr:sp macro="" textlink="">
      <xdr:nvSpPr>
        <xdr:cNvPr id="53575" name="Line 250">
          <a:extLst>
            <a:ext uri="{FF2B5EF4-FFF2-40B4-BE49-F238E27FC236}">
              <a16:creationId xmlns:a16="http://schemas.microsoft.com/office/drawing/2014/main" id="{B3BDE795-EDC4-47BE-86EB-B1AF5FA47B86}"/>
            </a:ext>
          </a:extLst>
        </xdr:cNvPr>
        <xdr:cNvSpPr>
          <a:spLocks noChangeShapeType="1"/>
        </xdr:cNvSpPr>
      </xdr:nvSpPr>
      <xdr:spPr bwMode="auto">
        <a:xfrm flipH="1">
          <a:off x="2009775" y="3562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152400</xdr:rowOff>
    </xdr:from>
    <xdr:to>
      <xdr:col>37</xdr:col>
      <xdr:colOff>0</xdr:colOff>
      <xdr:row>31</xdr:row>
      <xdr:rowOff>66675</xdr:rowOff>
    </xdr:to>
    <xdr:sp macro="" textlink="">
      <xdr:nvSpPr>
        <xdr:cNvPr id="53576" name="Line 251">
          <a:extLst>
            <a:ext uri="{FF2B5EF4-FFF2-40B4-BE49-F238E27FC236}">
              <a16:creationId xmlns:a16="http://schemas.microsoft.com/office/drawing/2014/main" id="{E5498F88-BB54-402B-9076-FB4AF4238187}"/>
            </a:ext>
          </a:extLst>
        </xdr:cNvPr>
        <xdr:cNvSpPr>
          <a:spLocks noChangeShapeType="1"/>
        </xdr:cNvSpPr>
      </xdr:nvSpPr>
      <xdr:spPr bwMode="auto">
        <a:xfrm flipV="1">
          <a:off x="20097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0</xdr:colOff>
      <xdr:row>30</xdr:row>
      <xdr:rowOff>28575</xdr:rowOff>
    </xdr:to>
    <xdr:sp macro="" textlink="">
      <xdr:nvSpPr>
        <xdr:cNvPr id="53577" name="Arc 9">
          <a:extLst>
            <a:ext uri="{FF2B5EF4-FFF2-40B4-BE49-F238E27FC236}">
              <a16:creationId xmlns:a16="http://schemas.microsoft.com/office/drawing/2014/main" id="{454583E7-559A-4378-BDDF-A7D17803B797}"/>
            </a:ext>
          </a:extLst>
        </xdr:cNvPr>
        <xdr:cNvSpPr>
          <a:spLocks/>
        </xdr:cNvSpPr>
      </xdr:nvSpPr>
      <xdr:spPr bwMode="auto">
        <a:xfrm flipH="1">
          <a:off x="26003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0</xdr:colOff>
      <xdr:row>30</xdr:row>
      <xdr:rowOff>47625</xdr:rowOff>
    </xdr:to>
    <xdr:sp macro="" textlink="">
      <xdr:nvSpPr>
        <xdr:cNvPr id="53578" name="Arc 10">
          <a:extLst>
            <a:ext uri="{FF2B5EF4-FFF2-40B4-BE49-F238E27FC236}">
              <a16:creationId xmlns:a16="http://schemas.microsoft.com/office/drawing/2014/main" id="{ADAA1DD5-C46E-4D1E-9077-FC6A5B78B5A3}"/>
            </a:ext>
          </a:extLst>
        </xdr:cNvPr>
        <xdr:cNvSpPr>
          <a:spLocks/>
        </xdr:cNvSpPr>
      </xdr:nvSpPr>
      <xdr:spPr bwMode="auto">
        <a:xfrm>
          <a:off x="26003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29</xdr:row>
      <xdr:rowOff>28575</xdr:rowOff>
    </xdr:from>
    <xdr:to>
      <xdr:col>39</xdr:col>
      <xdr:colOff>0</xdr:colOff>
      <xdr:row>30</xdr:row>
      <xdr:rowOff>85725</xdr:rowOff>
    </xdr:to>
    <xdr:sp macro="" textlink="">
      <xdr:nvSpPr>
        <xdr:cNvPr id="53579" name="Arc 11">
          <a:extLst>
            <a:ext uri="{FF2B5EF4-FFF2-40B4-BE49-F238E27FC236}">
              <a16:creationId xmlns:a16="http://schemas.microsoft.com/office/drawing/2014/main" id="{ABA02FA0-7EE5-4D27-A384-A28E61730B68}"/>
            </a:ext>
          </a:extLst>
        </xdr:cNvPr>
        <xdr:cNvSpPr>
          <a:spLocks/>
        </xdr:cNvSpPr>
      </xdr:nvSpPr>
      <xdr:spPr bwMode="auto">
        <a:xfrm>
          <a:off x="26003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60</xdr:row>
      <xdr:rowOff>28575</xdr:rowOff>
    </xdr:from>
    <xdr:to>
      <xdr:col>39</xdr:col>
      <xdr:colOff>0</xdr:colOff>
      <xdr:row>60</xdr:row>
      <xdr:rowOff>85725</xdr:rowOff>
    </xdr:to>
    <xdr:sp macro="" textlink="">
      <xdr:nvSpPr>
        <xdr:cNvPr id="53580" name="Line 12">
          <a:extLst>
            <a:ext uri="{FF2B5EF4-FFF2-40B4-BE49-F238E27FC236}">
              <a16:creationId xmlns:a16="http://schemas.microsoft.com/office/drawing/2014/main" id="{DA0F11FF-581D-45CA-A6E9-17B7A440D02E}"/>
            </a:ext>
          </a:extLst>
        </xdr:cNvPr>
        <xdr:cNvSpPr>
          <a:spLocks noChangeShapeType="1"/>
        </xdr:cNvSpPr>
      </xdr:nvSpPr>
      <xdr:spPr bwMode="auto">
        <a:xfrm flipH="1" flipV="1">
          <a:off x="2600325" y="121158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60</xdr:row>
      <xdr:rowOff>9525</xdr:rowOff>
    </xdr:from>
    <xdr:to>
      <xdr:col>39</xdr:col>
      <xdr:colOff>0</xdr:colOff>
      <xdr:row>60</xdr:row>
      <xdr:rowOff>76200</xdr:rowOff>
    </xdr:to>
    <xdr:sp macro="" textlink="">
      <xdr:nvSpPr>
        <xdr:cNvPr id="53581" name="Line 13">
          <a:extLst>
            <a:ext uri="{FF2B5EF4-FFF2-40B4-BE49-F238E27FC236}">
              <a16:creationId xmlns:a16="http://schemas.microsoft.com/office/drawing/2014/main" id="{0230DF63-7437-4F1F-B856-E7202D4724B1}"/>
            </a:ext>
          </a:extLst>
        </xdr:cNvPr>
        <xdr:cNvSpPr>
          <a:spLocks noChangeShapeType="1"/>
        </xdr:cNvSpPr>
      </xdr:nvSpPr>
      <xdr:spPr bwMode="auto">
        <a:xfrm flipV="1">
          <a:off x="2600325" y="120967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60</xdr:row>
      <xdr:rowOff>57150</xdr:rowOff>
    </xdr:from>
    <xdr:to>
      <xdr:col>39</xdr:col>
      <xdr:colOff>0</xdr:colOff>
      <xdr:row>60</xdr:row>
      <xdr:rowOff>57150</xdr:rowOff>
    </xdr:to>
    <xdr:sp macro="" textlink="">
      <xdr:nvSpPr>
        <xdr:cNvPr id="53582" name="Line 14">
          <a:extLst>
            <a:ext uri="{FF2B5EF4-FFF2-40B4-BE49-F238E27FC236}">
              <a16:creationId xmlns:a16="http://schemas.microsoft.com/office/drawing/2014/main" id="{79018597-F66D-4ED3-B2A8-A37A737CE023}"/>
            </a:ext>
          </a:extLst>
        </xdr:cNvPr>
        <xdr:cNvSpPr>
          <a:spLocks noChangeShapeType="1"/>
        </xdr:cNvSpPr>
      </xdr:nvSpPr>
      <xdr:spPr bwMode="auto">
        <a:xfrm flipH="1">
          <a:off x="2600325" y="12144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29</xdr:row>
      <xdr:rowOff>152400</xdr:rowOff>
    </xdr:from>
    <xdr:to>
      <xdr:col>39</xdr:col>
      <xdr:colOff>0</xdr:colOff>
      <xdr:row>30</xdr:row>
      <xdr:rowOff>66675</xdr:rowOff>
    </xdr:to>
    <xdr:sp macro="" textlink="">
      <xdr:nvSpPr>
        <xdr:cNvPr id="53583" name="Line 15">
          <a:extLst>
            <a:ext uri="{FF2B5EF4-FFF2-40B4-BE49-F238E27FC236}">
              <a16:creationId xmlns:a16="http://schemas.microsoft.com/office/drawing/2014/main" id="{AFDB9A99-E44A-483D-9F50-FB9024ACC479}"/>
            </a:ext>
          </a:extLst>
        </xdr:cNvPr>
        <xdr:cNvSpPr>
          <a:spLocks noChangeShapeType="1"/>
        </xdr:cNvSpPr>
      </xdr:nvSpPr>
      <xdr:spPr bwMode="auto">
        <a:xfrm flipV="1">
          <a:off x="26003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30</xdr:row>
      <xdr:rowOff>0</xdr:rowOff>
    </xdr:from>
    <xdr:to>
      <xdr:col>39</xdr:col>
      <xdr:colOff>0</xdr:colOff>
      <xdr:row>31</xdr:row>
      <xdr:rowOff>28575</xdr:rowOff>
    </xdr:to>
    <xdr:sp macro="" textlink="">
      <xdr:nvSpPr>
        <xdr:cNvPr id="53584" name="Arc 17">
          <a:extLst>
            <a:ext uri="{FF2B5EF4-FFF2-40B4-BE49-F238E27FC236}">
              <a16:creationId xmlns:a16="http://schemas.microsoft.com/office/drawing/2014/main" id="{73863F4B-9E31-4B56-AA36-B1FD6883F78C}"/>
            </a:ext>
          </a:extLst>
        </xdr:cNvPr>
        <xdr:cNvSpPr>
          <a:spLocks/>
        </xdr:cNvSpPr>
      </xdr:nvSpPr>
      <xdr:spPr bwMode="auto">
        <a:xfrm flipH="1">
          <a:off x="26003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30</xdr:row>
      <xdr:rowOff>0</xdr:rowOff>
    </xdr:from>
    <xdr:to>
      <xdr:col>39</xdr:col>
      <xdr:colOff>0</xdr:colOff>
      <xdr:row>31</xdr:row>
      <xdr:rowOff>47625</xdr:rowOff>
    </xdr:to>
    <xdr:sp macro="" textlink="">
      <xdr:nvSpPr>
        <xdr:cNvPr id="53585" name="Arc 18">
          <a:extLst>
            <a:ext uri="{FF2B5EF4-FFF2-40B4-BE49-F238E27FC236}">
              <a16:creationId xmlns:a16="http://schemas.microsoft.com/office/drawing/2014/main" id="{75D7F95D-BE6F-4095-B51E-3D28633D53B9}"/>
            </a:ext>
          </a:extLst>
        </xdr:cNvPr>
        <xdr:cNvSpPr>
          <a:spLocks/>
        </xdr:cNvSpPr>
      </xdr:nvSpPr>
      <xdr:spPr bwMode="auto">
        <a:xfrm>
          <a:off x="26003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30</xdr:row>
      <xdr:rowOff>28575</xdr:rowOff>
    </xdr:from>
    <xdr:to>
      <xdr:col>39</xdr:col>
      <xdr:colOff>0</xdr:colOff>
      <xdr:row>31</xdr:row>
      <xdr:rowOff>85725</xdr:rowOff>
    </xdr:to>
    <xdr:sp macro="" textlink="">
      <xdr:nvSpPr>
        <xdr:cNvPr id="53586" name="Arc 19">
          <a:extLst>
            <a:ext uri="{FF2B5EF4-FFF2-40B4-BE49-F238E27FC236}">
              <a16:creationId xmlns:a16="http://schemas.microsoft.com/office/drawing/2014/main" id="{869426A9-6323-43A7-9CF2-2477F37E0D7C}"/>
            </a:ext>
          </a:extLst>
        </xdr:cNvPr>
        <xdr:cNvSpPr>
          <a:spLocks/>
        </xdr:cNvSpPr>
      </xdr:nvSpPr>
      <xdr:spPr bwMode="auto">
        <a:xfrm>
          <a:off x="26003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85</xdr:row>
      <xdr:rowOff>28575</xdr:rowOff>
    </xdr:from>
    <xdr:to>
      <xdr:col>39</xdr:col>
      <xdr:colOff>0</xdr:colOff>
      <xdr:row>85</xdr:row>
      <xdr:rowOff>85725</xdr:rowOff>
    </xdr:to>
    <xdr:sp macro="" textlink="">
      <xdr:nvSpPr>
        <xdr:cNvPr id="53587" name="Line 20">
          <a:extLst>
            <a:ext uri="{FF2B5EF4-FFF2-40B4-BE49-F238E27FC236}">
              <a16:creationId xmlns:a16="http://schemas.microsoft.com/office/drawing/2014/main" id="{C83EDBFC-7326-46D1-8F8E-CD4A5F9AC27E}"/>
            </a:ext>
          </a:extLst>
        </xdr:cNvPr>
        <xdr:cNvSpPr>
          <a:spLocks noChangeShapeType="1"/>
        </xdr:cNvSpPr>
      </xdr:nvSpPr>
      <xdr:spPr bwMode="auto">
        <a:xfrm flipH="1" flipV="1">
          <a:off x="2600325" y="147066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85</xdr:row>
      <xdr:rowOff>9525</xdr:rowOff>
    </xdr:from>
    <xdr:to>
      <xdr:col>39</xdr:col>
      <xdr:colOff>0</xdr:colOff>
      <xdr:row>85</xdr:row>
      <xdr:rowOff>76200</xdr:rowOff>
    </xdr:to>
    <xdr:sp macro="" textlink="">
      <xdr:nvSpPr>
        <xdr:cNvPr id="53588" name="Line 21">
          <a:extLst>
            <a:ext uri="{FF2B5EF4-FFF2-40B4-BE49-F238E27FC236}">
              <a16:creationId xmlns:a16="http://schemas.microsoft.com/office/drawing/2014/main" id="{60B1583F-2484-49FE-98F8-5B0C763D6F84}"/>
            </a:ext>
          </a:extLst>
        </xdr:cNvPr>
        <xdr:cNvSpPr>
          <a:spLocks noChangeShapeType="1"/>
        </xdr:cNvSpPr>
      </xdr:nvSpPr>
      <xdr:spPr bwMode="auto">
        <a:xfrm flipV="1">
          <a:off x="2600325" y="146875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85</xdr:row>
      <xdr:rowOff>57150</xdr:rowOff>
    </xdr:from>
    <xdr:to>
      <xdr:col>39</xdr:col>
      <xdr:colOff>0</xdr:colOff>
      <xdr:row>85</xdr:row>
      <xdr:rowOff>57150</xdr:rowOff>
    </xdr:to>
    <xdr:sp macro="" textlink="">
      <xdr:nvSpPr>
        <xdr:cNvPr id="53589" name="Line 22">
          <a:extLst>
            <a:ext uri="{FF2B5EF4-FFF2-40B4-BE49-F238E27FC236}">
              <a16:creationId xmlns:a16="http://schemas.microsoft.com/office/drawing/2014/main" id="{7ACA86B6-1210-4878-8768-254E51919754}"/>
            </a:ext>
          </a:extLst>
        </xdr:cNvPr>
        <xdr:cNvSpPr>
          <a:spLocks noChangeShapeType="1"/>
        </xdr:cNvSpPr>
      </xdr:nvSpPr>
      <xdr:spPr bwMode="auto">
        <a:xfrm flipH="1">
          <a:off x="2600325" y="14735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30</xdr:row>
      <xdr:rowOff>152400</xdr:rowOff>
    </xdr:from>
    <xdr:to>
      <xdr:col>39</xdr:col>
      <xdr:colOff>0</xdr:colOff>
      <xdr:row>31</xdr:row>
      <xdr:rowOff>66675</xdr:rowOff>
    </xdr:to>
    <xdr:sp macro="" textlink="">
      <xdr:nvSpPr>
        <xdr:cNvPr id="53590" name="Line 23">
          <a:extLst>
            <a:ext uri="{FF2B5EF4-FFF2-40B4-BE49-F238E27FC236}">
              <a16:creationId xmlns:a16="http://schemas.microsoft.com/office/drawing/2014/main" id="{7A13C6F7-26E2-4E4E-91F5-04C6FDBD80BC}"/>
            </a:ext>
          </a:extLst>
        </xdr:cNvPr>
        <xdr:cNvSpPr>
          <a:spLocks noChangeShapeType="1"/>
        </xdr:cNvSpPr>
      </xdr:nvSpPr>
      <xdr:spPr bwMode="auto">
        <a:xfrm flipV="1">
          <a:off x="26003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29</xdr:row>
      <xdr:rowOff>0</xdr:rowOff>
    </xdr:from>
    <xdr:to>
      <xdr:col>42</xdr:col>
      <xdr:colOff>0</xdr:colOff>
      <xdr:row>30</xdr:row>
      <xdr:rowOff>28575</xdr:rowOff>
    </xdr:to>
    <xdr:sp macro="" textlink="">
      <xdr:nvSpPr>
        <xdr:cNvPr id="53591" name="Arc 9">
          <a:extLst>
            <a:ext uri="{FF2B5EF4-FFF2-40B4-BE49-F238E27FC236}">
              <a16:creationId xmlns:a16="http://schemas.microsoft.com/office/drawing/2014/main" id="{89EEC31B-0DC2-40C5-B29F-658FA940DB68}"/>
            </a:ext>
          </a:extLst>
        </xdr:cNvPr>
        <xdr:cNvSpPr>
          <a:spLocks/>
        </xdr:cNvSpPr>
      </xdr:nvSpPr>
      <xdr:spPr bwMode="auto">
        <a:xfrm flipH="1">
          <a:off x="26003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29</xdr:row>
      <xdr:rowOff>0</xdr:rowOff>
    </xdr:from>
    <xdr:to>
      <xdr:col>42</xdr:col>
      <xdr:colOff>0</xdr:colOff>
      <xdr:row>30</xdr:row>
      <xdr:rowOff>47625</xdr:rowOff>
    </xdr:to>
    <xdr:sp macro="" textlink="">
      <xdr:nvSpPr>
        <xdr:cNvPr id="53592" name="Arc 10">
          <a:extLst>
            <a:ext uri="{FF2B5EF4-FFF2-40B4-BE49-F238E27FC236}">
              <a16:creationId xmlns:a16="http://schemas.microsoft.com/office/drawing/2014/main" id="{5F2062B5-0DFB-4D59-9C46-5D13A8E93E3F}"/>
            </a:ext>
          </a:extLst>
        </xdr:cNvPr>
        <xdr:cNvSpPr>
          <a:spLocks/>
        </xdr:cNvSpPr>
      </xdr:nvSpPr>
      <xdr:spPr bwMode="auto">
        <a:xfrm>
          <a:off x="26003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29</xdr:row>
      <xdr:rowOff>28575</xdr:rowOff>
    </xdr:from>
    <xdr:to>
      <xdr:col>42</xdr:col>
      <xdr:colOff>0</xdr:colOff>
      <xdr:row>30</xdr:row>
      <xdr:rowOff>85725</xdr:rowOff>
    </xdr:to>
    <xdr:sp macro="" textlink="">
      <xdr:nvSpPr>
        <xdr:cNvPr id="53593" name="Arc 11">
          <a:extLst>
            <a:ext uri="{FF2B5EF4-FFF2-40B4-BE49-F238E27FC236}">
              <a16:creationId xmlns:a16="http://schemas.microsoft.com/office/drawing/2014/main" id="{57822F0C-BA0E-404F-B8FA-52E6CDB8DDD0}"/>
            </a:ext>
          </a:extLst>
        </xdr:cNvPr>
        <xdr:cNvSpPr>
          <a:spLocks/>
        </xdr:cNvSpPr>
      </xdr:nvSpPr>
      <xdr:spPr bwMode="auto">
        <a:xfrm>
          <a:off x="26003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87</xdr:row>
      <xdr:rowOff>28575</xdr:rowOff>
    </xdr:from>
    <xdr:to>
      <xdr:col>42</xdr:col>
      <xdr:colOff>0</xdr:colOff>
      <xdr:row>87</xdr:row>
      <xdr:rowOff>85725</xdr:rowOff>
    </xdr:to>
    <xdr:sp macro="" textlink="">
      <xdr:nvSpPr>
        <xdr:cNvPr id="53594" name="Line 12">
          <a:extLst>
            <a:ext uri="{FF2B5EF4-FFF2-40B4-BE49-F238E27FC236}">
              <a16:creationId xmlns:a16="http://schemas.microsoft.com/office/drawing/2014/main" id="{E0BBBF88-B895-40EF-AD8B-68D444D2803C}"/>
            </a:ext>
          </a:extLst>
        </xdr:cNvPr>
        <xdr:cNvSpPr>
          <a:spLocks noChangeShapeType="1"/>
        </xdr:cNvSpPr>
      </xdr:nvSpPr>
      <xdr:spPr bwMode="auto">
        <a:xfrm flipH="1" flipV="1">
          <a:off x="2600325" y="72580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87</xdr:row>
      <xdr:rowOff>9525</xdr:rowOff>
    </xdr:from>
    <xdr:to>
      <xdr:col>42</xdr:col>
      <xdr:colOff>0</xdr:colOff>
      <xdr:row>87</xdr:row>
      <xdr:rowOff>76200</xdr:rowOff>
    </xdr:to>
    <xdr:sp macro="" textlink="">
      <xdr:nvSpPr>
        <xdr:cNvPr id="53595" name="Line 13">
          <a:extLst>
            <a:ext uri="{FF2B5EF4-FFF2-40B4-BE49-F238E27FC236}">
              <a16:creationId xmlns:a16="http://schemas.microsoft.com/office/drawing/2014/main" id="{566E1941-8E05-442F-A81F-658D4613F321}"/>
            </a:ext>
          </a:extLst>
        </xdr:cNvPr>
        <xdr:cNvSpPr>
          <a:spLocks noChangeShapeType="1"/>
        </xdr:cNvSpPr>
      </xdr:nvSpPr>
      <xdr:spPr bwMode="auto">
        <a:xfrm flipV="1">
          <a:off x="2600325" y="7239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87</xdr:row>
      <xdr:rowOff>57150</xdr:rowOff>
    </xdr:from>
    <xdr:to>
      <xdr:col>42</xdr:col>
      <xdr:colOff>0</xdr:colOff>
      <xdr:row>87</xdr:row>
      <xdr:rowOff>57150</xdr:rowOff>
    </xdr:to>
    <xdr:sp macro="" textlink="">
      <xdr:nvSpPr>
        <xdr:cNvPr id="53596" name="Line 14">
          <a:extLst>
            <a:ext uri="{FF2B5EF4-FFF2-40B4-BE49-F238E27FC236}">
              <a16:creationId xmlns:a16="http://schemas.microsoft.com/office/drawing/2014/main" id="{B41EB1EB-0AB8-49B4-8719-AA9E64D3FB3C}"/>
            </a:ext>
          </a:extLst>
        </xdr:cNvPr>
        <xdr:cNvSpPr>
          <a:spLocks noChangeShapeType="1"/>
        </xdr:cNvSpPr>
      </xdr:nvSpPr>
      <xdr:spPr bwMode="auto">
        <a:xfrm flipH="1">
          <a:off x="2600325" y="7286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29</xdr:row>
      <xdr:rowOff>152400</xdr:rowOff>
    </xdr:from>
    <xdr:to>
      <xdr:col>42</xdr:col>
      <xdr:colOff>0</xdr:colOff>
      <xdr:row>30</xdr:row>
      <xdr:rowOff>66675</xdr:rowOff>
    </xdr:to>
    <xdr:sp macro="" textlink="">
      <xdr:nvSpPr>
        <xdr:cNvPr id="53597" name="Line 15">
          <a:extLst>
            <a:ext uri="{FF2B5EF4-FFF2-40B4-BE49-F238E27FC236}">
              <a16:creationId xmlns:a16="http://schemas.microsoft.com/office/drawing/2014/main" id="{3F1DBFED-A83D-40AF-ACC4-79DE20B8FA4E}"/>
            </a:ext>
          </a:extLst>
        </xdr:cNvPr>
        <xdr:cNvSpPr>
          <a:spLocks noChangeShapeType="1"/>
        </xdr:cNvSpPr>
      </xdr:nvSpPr>
      <xdr:spPr bwMode="auto">
        <a:xfrm flipV="1">
          <a:off x="26003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30</xdr:row>
      <xdr:rowOff>0</xdr:rowOff>
    </xdr:from>
    <xdr:to>
      <xdr:col>42</xdr:col>
      <xdr:colOff>0</xdr:colOff>
      <xdr:row>31</xdr:row>
      <xdr:rowOff>28575</xdr:rowOff>
    </xdr:to>
    <xdr:sp macro="" textlink="">
      <xdr:nvSpPr>
        <xdr:cNvPr id="53598" name="Arc 17">
          <a:extLst>
            <a:ext uri="{FF2B5EF4-FFF2-40B4-BE49-F238E27FC236}">
              <a16:creationId xmlns:a16="http://schemas.microsoft.com/office/drawing/2014/main" id="{7E4C4F8E-18D4-448E-8FA8-5C859952C1E0}"/>
            </a:ext>
          </a:extLst>
        </xdr:cNvPr>
        <xdr:cNvSpPr>
          <a:spLocks/>
        </xdr:cNvSpPr>
      </xdr:nvSpPr>
      <xdr:spPr bwMode="auto">
        <a:xfrm flipH="1">
          <a:off x="26003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30</xdr:row>
      <xdr:rowOff>0</xdr:rowOff>
    </xdr:from>
    <xdr:to>
      <xdr:col>42</xdr:col>
      <xdr:colOff>0</xdr:colOff>
      <xdr:row>31</xdr:row>
      <xdr:rowOff>47625</xdr:rowOff>
    </xdr:to>
    <xdr:sp macro="" textlink="">
      <xdr:nvSpPr>
        <xdr:cNvPr id="53599" name="Arc 18">
          <a:extLst>
            <a:ext uri="{FF2B5EF4-FFF2-40B4-BE49-F238E27FC236}">
              <a16:creationId xmlns:a16="http://schemas.microsoft.com/office/drawing/2014/main" id="{98C4E5FD-E14E-42F5-9B48-BE0D09E65482}"/>
            </a:ext>
          </a:extLst>
        </xdr:cNvPr>
        <xdr:cNvSpPr>
          <a:spLocks/>
        </xdr:cNvSpPr>
      </xdr:nvSpPr>
      <xdr:spPr bwMode="auto">
        <a:xfrm>
          <a:off x="26003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30</xdr:row>
      <xdr:rowOff>28575</xdr:rowOff>
    </xdr:from>
    <xdr:to>
      <xdr:col>42</xdr:col>
      <xdr:colOff>0</xdr:colOff>
      <xdr:row>31</xdr:row>
      <xdr:rowOff>85725</xdr:rowOff>
    </xdr:to>
    <xdr:sp macro="" textlink="">
      <xdr:nvSpPr>
        <xdr:cNvPr id="53600" name="Arc 19">
          <a:extLst>
            <a:ext uri="{FF2B5EF4-FFF2-40B4-BE49-F238E27FC236}">
              <a16:creationId xmlns:a16="http://schemas.microsoft.com/office/drawing/2014/main" id="{ABEE0115-2D97-40BF-96EF-C5F24E055270}"/>
            </a:ext>
          </a:extLst>
        </xdr:cNvPr>
        <xdr:cNvSpPr>
          <a:spLocks/>
        </xdr:cNvSpPr>
      </xdr:nvSpPr>
      <xdr:spPr bwMode="auto">
        <a:xfrm>
          <a:off x="26003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36</xdr:row>
      <xdr:rowOff>28575</xdr:rowOff>
    </xdr:from>
    <xdr:to>
      <xdr:col>42</xdr:col>
      <xdr:colOff>0</xdr:colOff>
      <xdr:row>36</xdr:row>
      <xdr:rowOff>85725</xdr:rowOff>
    </xdr:to>
    <xdr:sp macro="" textlink="">
      <xdr:nvSpPr>
        <xdr:cNvPr id="53601" name="Line 20">
          <a:extLst>
            <a:ext uri="{FF2B5EF4-FFF2-40B4-BE49-F238E27FC236}">
              <a16:creationId xmlns:a16="http://schemas.microsoft.com/office/drawing/2014/main" id="{BE002DAE-76F3-42FF-AED3-8FECB4CD95CA}"/>
            </a:ext>
          </a:extLst>
        </xdr:cNvPr>
        <xdr:cNvSpPr>
          <a:spLocks noChangeShapeType="1"/>
        </xdr:cNvSpPr>
      </xdr:nvSpPr>
      <xdr:spPr bwMode="auto">
        <a:xfrm flipH="1" flipV="1">
          <a:off x="2600325" y="87153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36</xdr:row>
      <xdr:rowOff>9525</xdr:rowOff>
    </xdr:from>
    <xdr:to>
      <xdr:col>42</xdr:col>
      <xdr:colOff>0</xdr:colOff>
      <xdr:row>36</xdr:row>
      <xdr:rowOff>76200</xdr:rowOff>
    </xdr:to>
    <xdr:sp macro="" textlink="">
      <xdr:nvSpPr>
        <xdr:cNvPr id="53602" name="Line 21">
          <a:extLst>
            <a:ext uri="{FF2B5EF4-FFF2-40B4-BE49-F238E27FC236}">
              <a16:creationId xmlns:a16="http://schemas.microsoft.com/office/drawing/2014/main" id="{3F9809BC-F493-4439-8E6E-2FFDE0BD25FC}"/>
            </a:ext>
          </a:extLst>
        </xdr:cNvPr>
        <xdr:cNvSpPr>
          <a:spLocks noChangeShapeType="1"/>
        </xdr:cNvSpPr>
      </xdr:nvSpPr>
      <xdr:spPr bwMode="auto">
        <a:xfrm flipV="1">
          <a:off x="2600325" y="86963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36</xdr:row>
      <xdr:rowOff>57150</xdr:rowOff>
    </xdr:from>
    <xdr:to>
      <xdr:col>42</xdr:col>
      <xdr:colOff>0</xdr:colOff>
      <xdr:row>36</xdr:row>
      <xdr:rowOff>57150</xdr:rowOff>
    </xdr:to>
    <xdr:sp macro="" textlink="">
      <xdr:nvSpPr>
        <xdr:cNvPr id="53603" name="Line 22">
          <a:extLst>
            <a:ext uri="{FF2B5EF4-FFF2-40B4-BE49-F238E27FC236}">
              <a16:creationId xmlns:a16="http://schemas.microsoft.com/office/drawing/2014/main" id="{D30F6F6D-D9C0-43B2-922A-CACA23AF8C83}"/>
            </a:ext>
          </a:extLst>
        </xdr:cNvPr>
        <xdr:cNvSpPr>
          <a:spLocks noChangeShapeType="1"/>
        </xdr:cNvSpPr>
      </xdr:nvSpPr>
      <xdr:spPr bwMode="auto">
        <a:xfrm flipH="1">
          <a:off x="2600325" y="8743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30</xdr:row>
      <xdr:rowOff>152400</xdr:rowOff>
    </xdr:from>
    <xdr:to>
      <xdr:col>42</xdr:col>
      <xdr:colOff>0</xdr:colOff>
      <xdr:row>31</xdr:row>
      <xdr:rowOff>66675</xdr:rowOff>
    </xdr:to>
    <xdr:sp macro="" textlink="">
      <xdr:nvSpPr>
        <xdr:cNvPr id="53604" name="Line 23">
          <a:extLst>
            <a:ext uri="{FF2B5EF4-FFF2-40B4-BE49-F238E27FC236}">
              <a16:creationId xmlns:a16="http://schemas.microsoft.com/office/drawing/2014/main" id="{46B35B6C-C1D0-4E08-90DA-9785E7CBF0C2}"/>
            </a:ext>
          </a:extLst>
        </xdr:cNvPr>
        <xdr:cNvSpPr>
          <a:spLocks noChangeShapeType="1"/>
        </xdr:cNvSpPr>
      </xdr:nvSpPr>
      <xdr:spPr bwMode="auto">
        <a:xfrm flipV="1">
          <a:off x="26003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0</xdr:rowOff>
    </xdr:from>
    <xdr:to>
      <xdr:col>43</xdr:col>
      <xdr:colOff>0</xdr:colOff>
      <xdr:row>30</xdr:row>
      <xdr:rowOff>28575</xdr:rowOff>
    </xdr:to>
    <xdr:sp macro="" textlink="">
      <xdr:nvSpPr>
        <xdr:cNvPr id="53605" name="Arc 9">
          <a:extLst>
            <a:ext uri="{FF2B5EF4-FFF2-40B4-BE49-F238E27FC236}">
              <a16:creationId xmlns:a16="http://schemas.microsoft.com/office/drawing/2014/main" id="{8A845BB1-06BF-4A06-A3CB-8E0119C72EB5}"/>
            </a:ext>
          </a:extLst>
        </xdr:cNvPr>
        <xdr:cNvSpPr>
          <a:spLocks/>
        </xdr:cNvSpPr>
      </xdr:nvSpPr>
      <xdr:spPr bwMode="auto">
        <a:xfrm flipH="1">
          <a:off x="26003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0</xdr:rowOff>
    </xdr:from>
    <xdr:to>
      <xdr:col>43</xdr:col>
      <xdr:colOff>0</xdr:colOff>
      <xdr:row>30</xdr:row>
      <xdr:rowOff>47625</xdr:rowOff>
    </xdr:to>
    <xdr:sp macro="" textlink="">
      <xdr:nvSpPr>
        <xdr:cNvPr id="53606" name="Arc 10">
          <a:extLst>
            <a:ext uri="{FF2B5EF4-FFF2-40B4-BE49-F238E27FC236}">
              <a16:creationId xmlns:a16="http://schemas.microsoft.com/office/drawing/2014/main" id="{12A1B57F-7FD1-423D-8C29-1F7A4DC64546}"/>
            </a:ext>
          </a:extLst>
        </xdr:cNvPr>
        <xdr:cNvSpPr>
          <a:spLocks/>
        </xdr:cNvSpPr>
      </xdr:nvSpPr>
      <xdr:spPr bwMode="auto">
        <a:xfrm>
          <a:off x="26003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28575</xdr:rowOff>
    </xdr:from>
    <xdr:to>
      <xdr:col>43</xdr:col>
      <xdr:colOff>0</xdr:colOff>
      <xdr:row>30</xdr:row>
      <xdr:rowOff>85725</xdr:rowOff>
    </xdr:to>
    <xdr:sp macro="" textlink="">
      <xdr:nvSpPr>
        <xdr:cNvPr id="53607" name="Arc 11">
          <a:extLst>
            <a:ext uri="{FF2B5EF4-FFF2-40B4-BE49-F238E27FC236}">
              <a16:creationId xmlns:a16="http://schemas.microsoft.com/office/drawing/2014/main" id="{D5B7A678-4E58-4553-8BD9-BFD87566BD4A}"/>
            </a:ext>
          </a:extLst>
        </xdr:cNvPr>
        <xdr:cNvSpPr>
          <a:spLocks/>
        </xdr:cNvSpPr>
      </xdr:nvSpPr>
      <xdr:spPr bwMode="auto">
        <a:xfrm>
          <a:off x="26003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98</xdr:row>
      <xdr:rowOff>28575</xdr:rowOff>
    </xdr:from>
    <xdr:to>
      <xdr:col>43</xdr:col>
      <xdr:colOff>0</xdr:colOff>
      <xdr:row>98</xdr:row>
      <xdr:rowOff>85725</xdr:rowOff>
    </xdr:to>
    <xdr:sp macro="" textlink="">
      <xdr:nvSpPr>
        <xdr:cNvPr id="53608" name="Line 12">
          <a:extLst>
            <a:ext uri="{FF2B5EF4-FFF2-40B4-BE49-F238E27FC236}">
              <a16:creationId xmlns:a16="http://schemas.microsoft.com/office/drawing/2014/main" id="{5B2BBD5A-239A-4D23-9D82-BE330EB34F39}"/>
            </a:ext>
          </a:extLst>
        </xdr:cNvPr>
        <xdr:cNvSpPr>
          <a:spLocks noChangeShapeType="1"/>
        </xdr:cNvSpPr>
      </xdr:nvSpPr>
      <xdr:spPr bwMode="auto">
        <a:xfrm flipH="1" flipV="1">
          <a:off x="2600325" y="158400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98</xdr:row>
      <xdr:rowOff>9525</xdr:rowOff>
    </xdr:from>
    <xdr:to>
      <xdr:col>43</xdr:col>
      <xdr:colOff>0</xdr:colOff>
      <xdr:row>98</xdr:row>
      <xdr:rowOff>76200</xdr:rowOff>
    </xdr:to>
    <xdr:sp macro="" textlink="">
      <xdr:nvSpPr>
        <xdr:cNvPr id="53609" name="Line 13">
          <a:extLst>
            <a:ext uri="{FF2B5EF4-FFF2-40B4-BE49-F238E27FC236}">
              <a16:creationId xmlns:a16="http://schemas.microsoft.com/office/drawing/2014/main" id="{A115711A-3BF3-4EA0-943A-F366FB3117F0}"/>
            </a:ext>
          </a:extLst>
        </xdr:cNvPr>
        <xdr:cNvSpPr>
          <a:spLocks noChangeShapeType="1"/>
        </xdr:cNvSpPr>
      </xdr:nvSpPr>
      <xdr:spPr bwMode="auto">
        <a:xfrm flipV="1">
          <a:off x="2600325" y="158210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98</xdr:row>
      <xdr:rowOff>57150</xdr:rowOff>
    </xdr:from>
    <xdr:to>
      <xdr:col>43</xdr:col>
      <xdr:colOff>0</xdr:colOff>
      <xdr:row>98</xdr:row>
      <xdr:rowOff>57150</xdr:rowOff>
    </xdr:to>
    <xdr:sp macro="" textlink="">
      <xdr:nvSpPr>
        <xdr:cNvPr id="53610" name="Line 14">
          <a:extLst>
            <a:ext uri="{FF2B5EF4-FFF2-40B4-BE49-F238E27FC236}">
              <a16:creationId xmlns:a16="http://schemas.microsoft.com/office/drawing/2014/main" id="{68C4827E-2DF1-491C-8CF9-B7797A23870A}"/>
            </a:ext>
          </a:extLst>
        </xdr:cNvPr>
        <xdr:cNvSpPr>
          <a:spLocks noChangeShapeType="1"/>
        </xdr:cNvSpPr>
      </xdr:nvSpPr>
      <xdr:spPr bwMode="auto">
        <a:xfrm flipH="1">
          <a:off x="2600325" y="1586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152400</xdr:rowOff>
    </xdr:from>
    <xdr:to>
      <xdr:col>43</xdr:col>
      <xdr:colOff>0</xdr:colOff>
      <xdr:row>30</xdr:row>
      <xdr:rowOff>66675</xdr:rowOff>
    </xdr:to>
    <xdr:sp macro="" textlink="">
      <xdr:nvSpPr>
        <xdr:cNvPr id="53611" name="Line 15">
          <a:extLst>
            <a:ext uri="{FF2B5EF4-FFF2-40B4-BE49-F238E27FC236}">
              <a16:creationId xmlns:a16="http://schemas.microsoft.com/office/drawing/2014/main" id="{93800242-F018-40D5-9B4E-4FEDF765BBB2}"/>
            </a:ext>
          </a:extLst>
        </xdr:cNvPr>
        <xdr:cNvSpPr>
          <a:spLocks noChangeShapeType="1"/>
        </xdr:cNvSpPr>
      </xdr:nvSpPr>
      <xdr:spPr bwMode="auto">
        <a:xfrm flipV="1">
          <a:off x="26003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0</xdr:rowOff>
    </xdr:from>
    <xdr:to>
      <xdr:col>43</xdr:col>
      <xdr:colOff>0</xdr:colOff>
      <xdr:row>31</xdr:row>
      <xdr:rowOff>28575</xdr:rowOff>
    </xdr:to>
    <xdr:sp macro="" textlink="">
      <xdr:nvSpPr>
        <xdr:cNvPr id="53612" name="Arc 17">
          <a:extLst>
            <a:ext uri="{FF2B5EF4-FFF2-40B4-BE49-F238E27FC236}">
              <a16:creationId xmlns:a16="http://schemas.microsoft.com/office/drawing/2014/main" id="{54315278-B0EC-4D77-BEED-33060971F9AC}"/>
            </a:ext>
          </a:extLst>
        </xdr:cNvPr>
        <xdr:cNvSpPr>
          <a:spLocks/>
        </xdr:cNvSpPr>
      </xdr:nvSpPr>
      <xdr:spPr bwMode="auto">
        <a:xfrm flipH="1">
          <a:off x="26003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0</xdr:rowOff>
    </xdr:from>
    <xdr:to>
      <xdr:col>43</xdr:col>
      <xdr:colOff>0</xdr:colOff>
      <xdr:row>31</xdr:row>
      <xdr:rowOff>47625</xdr:rowOff>
    </xdr:to>
    <xdr:sp macro="" textlink="">
      <xdr:nvSpPr>
        <xdr:cNvPr id="53613" name="Arc 18">
          <a:extLst>
            <a:ext uri="{FF2B5EF4-FFF2-40B4-BE49-F238E27FC236}">
              <a16:creationId xmlns:a16="http://schemas.microsoft.com/office/drawing/2014/main" id="{211CF134-50DC-4333-B4CD-7E5CE516E4D0}"/>
            </a:ext>
          </a:extLst>
        </xdr:cNvPr>
        <xdr:cNvSpPr>
          <a:spLocks/>
        </xdr:cNvSpPr>
      </xdr:nvSpPr>
      <xdr:spPr bwMode="auto">
        <a:xfrm>
          <a:off x="26003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28575</xdr:rowOff>
    </xdr:from>
    <xdr:to>
      <xdr:col>43</xdr:col>
      <xdr:colOff>0</xdr:colOff>
      <xdr:row>31</xdr:row>
      <xdr:rowOff>85725</xdr:rowOff>
    </xdr:to>
    <xdr:sp macro="" textlink="">
      <xdr:nvSpPr>
        <xdr:cNvPr id="53614" name="Arc 19">
          <a:extLst>
            <a:ext uri="{FF2B5EF4-FFF2-40B4-BE49-F238E27FC236}">
              <a16:creationId xmlns:a16="http://schemas.microsoft.com/office/drawing/2014/main" id="{FD15D6EF-4D37-404D-B977-C1E121CE41DF}"/>
            </a:ext>
          </a:extLst>
        </xdr:cNvPr>
        <xdr:cNvSpPr>
          <a:spLocks/>
        </xdr:cNvSpPr>
      </xdr:nvSpPr>
      <xdr:spPr bwMode="auto">
        <a:xfrm>
          <a:off x="26003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39</xdr:row>
      <xdr:rowOff>28575</xdr:rowOff>
    </xdr:from>
    <xdr:to>
      <xdr:col>43</xdr:col>
      <xdr:colOff>0</xdr:colOff>
      <xdr:row>39</xdr:row>
      <xdr:rowOff>85725</xdr:rowOff>
    </xdr:to>
    <xdr:sp macro="" textlink="">
      <xdr:nvSpPr>
        <xdr:cNvPr id="53615" name="Line 20">
          <a:extLst>
            <a:ext uri="{FF2B5EF4-FFF2-40B4-BE49-F238E27FC236}">
              <a16:creationId xmlns:a16="http://schemas.microsoft.com/office/drawing/2014/main" id="{E987F9BB-5C0E-4ACE-B0F3-D60527AF781D}"/>
            </a:ext>
          </a:extLst>
        </xdr:cNvPr>
        <xdr:cNvSpPr>
          <a:spLocks noChangeShapeType="1"/>
        </xdr:cNvSpPr>
      </xdr:nvSpPr>
      <xdr:spPr bwMode="auto">
        <a:xfrm flipH="1" flipV="1">
          <a:off x="2600325" y="93630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39</xdr:row>
      <xdr:rowOff>9525</xdr:rowOff>
    </xdr:from>
    <xdr:to>
      <xdr:col>43</xdr:col>
      <xdr:colOff>0</xdr:colOff>
      <xdr:row>39</xdr:row>
      <xdr:rowOff>76200</xdr:rowOff>
    </xdr:to>
    <xdr:sp macro="" textlink="">
      <xdr:nvSpPr>
        <xdr:cNvPr id="53616" name="Line 21">
          <a:extLst>
            <a:ext uri="{FF2B5EF4-FFF2-40B4-BE49-F238E27FC236}">
              <a16:creationId xmlns:a16="http://schemas.microsoft.com/office/drawing/2014/main" id="{37063D1F-EB6A-42EF-B3AA-421F29D91DEB}"/>
            </a:ext>
          </a:extLst>
        </xdr:cNvPr>
        <xdr:cNvSpPr>
          <a:spLocks noChangeShapeType="1"/>
        </xdr:cNvSpPr>
      </xdr:nvSpPr>
      <xdr:spPr bwMode="auto">
        <a:xfrm flipV="1">
          <a:off x="2600325" y="93440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39</xdr:row>
      <xdr:rowOff>57150</xdr:rowOff>
    </xdr:from>
    <xdr:to>
      <xdr:col>43</xdr:col>
      <xdr:colOff>0</xdr:colOff>
      <xdr:row>39</xdr:row>
      <xdr:rowOff>57150</xdr:rowOff>
    </xdr:to>
    <xdr:sp macro="" textlink="">
      <xdr:nvSpPr>
        <xdr:cNvPr id="53617" name="Line 22">
          <a:extLst>
            <a:ext uri="{FF2B5EF4-FFF2-40B4-BE49-F238E27FC236}">
              <a16:creationId xmlns:a16="http://schemas.microsoft.com/office/drawing/2014/main" id="{D23E417E-8EAB-464D-8DB6-D9C9E377F0EA}"/>
            </a:ext>
          </a:extLst>
        </xdr:cNvPr>
        <xdr:cNvSpPr>
          <a:spLocks noChangeShapeType="1"/>
        </xdr:cNvSpPr>
      </xdr:nvSpPr>
      <xdr:spPr bwMode="auto">
        <a:xfrm flipH="1">
          <a:off x="2600325" y="939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152400</xdr:rowOff>
    </xdr:from>
    <xdr:to>
      <xdr:col>43</xdr:col>
      <xdr:colOff>0</xdr:colOff>
      <xdr:row>31</xdr:row>
      <xdr:rowOff>66675</xdr:rowOff>
    </xdr:to>
    <xdr:sp macro="" textlink="">
      <xdr:nvSpPr>
        <xdr:cNvPr id="53618" name="Line 23">
          <a:extLst>
            <a:ext uri="{FF2B5EF4-FFF2-40B4-BE49-F238E27FC236}">
              <a16:creationId xmlns:a16="http://schemas.microsoft.com/office/drawing/2014/main" id="{A7603E48-6A95-4C0D-A8D0-B57401845F13}"/>
            </a:ext>
          </a:extLst>
        </xdr:cNvPr>
        <xdr:cNvSpPr>
          <a:spLocks noChangeShapeType="1"/>
        </xdr:cNvSpPr>
      </xdr:nvSpPr>
      <xdr:spPr bwMode="auto">
        <a:xfrm flipV="1">
          <a:off x="26003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0</xdr:rowOff>
    </xdr:from>
    <xdr:to>
      <xdr:col>43</xdr:col>
      <xdr:colOff>0</xdr:colOff>
      <xdr:row>30</xdr:row>
      <xdr:rowOff>28575</xdr:rowOff>
    </xdr:to>
    <xdr:sp macro="" textlink="">
      <xdr:nvSpPr>
        <xdr:cNvPr id="53619" name="Arc 9">
          <a:extLst>
            <a:ext uri="{FF2B5EF4-FFF2-40B4-BE49-F238E27FC236}">
              <a16:creationId xmlns:a16="http://schemas.microsoft.com/office/drawing/2014/main" id="{CECFCB4F-E787-4C60-8403-C1CFFF6244AF}"/>
            </a:ext>
          </a:extLst>
        </xdr:cNvPr>
        <xdr:cNvSpPr>
          <a:spLocks/>
        </xdr:cNvSpPr>
      </xdr:nvSpPr>
      <xdr:spPr bwMode="auto">
        <a:xfrm flipH="1">
          <a:off x="26003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0</xdr:rowOff>
    </xdr:from>
    <xdr:to>
      <xdr:col>43</xdr:col>
      <xdr:colOff>0</xdr:colOff>
      <xdr:row>30</xdr:row>
      <xdr:rowOff>47625</xdr:rowOff>
    </xdr:to>
    <xdr:sp macro="" textlink="">
      <xdr:nvSpPr>
        <xdr:cNvPr id="53620" name="Arc 10">
          <a:extLst>
            <a:ext uri="{FF2B5EF4-FFF2-40B4-BE49-F238E27FC236}">
              <a16:creationId xmlns:a16="http://schemas.microsoft.com/office/drawing/2014/main" id="{5B7C8C47-CAE0-4579-BE67-AD2272B1FA45}"/>
            </a:ext>
          </a:extLst>
        </xdr:cNvPr>
        <xdr:cNvSpPr>
          <a:spLocks/>
        </xdr:cNvSpPr>
      </xdr:nvSpPr>
      <xdr:spPr bwMode="auto">
        <a:xfrm>
          <a:off x="26003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28575</xdr:rowOff>
    </xdr:from>
    <xdr:to>
      <xdr:col>43</xdr:col>
      <xdr:colOff>0</xdr:colOff>
      <xdr:row>30</xdr:row>
      <xdr:rowOff>85725</xdr:rowOff>
    </xdr:to>
    <xdr:sp macro="" textlink="">
      <xdr:nvSpPr>
        <xdr:cNvPr id="53621" name="Arc 11">
          <a:extLst>
            <a:ext uri="{FF2B5EF4-FFF2-40B4-BE49-F238E27FC236}">
              <a16:creationId xmlns:a16="http://schemas.microsoft.com/office/drawing/2014/main" id="{54350F62-5D15-4D5D-9172-A4507346A5BC}"/>
            </a:ext>
          </a:extLst>
        </xdr:cNvPr>
        <xdr:cNvSpPr>
          <a:spLocks/>
        </xdr:cNvSpPr>
      </xdr:nvSpPr>
      <xdr:spPr bwMode="auto">
        <a:xfrm>
          <a:off x="26003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19</xdr:row>
      <xdr:rowOff>28575</xdr:rowOff>
    </xdr:from>
    <xdr:to>
      <xdr:col>43</xdr:col>
      <xdr:colOff>0</xdr:colOff>
      <xdr:row>19</xdr:row>
      <xdr:rowOff>85725</xdr:rowOff>
    </xdr:to>
    <xdr:sp macro="" textlink="">
      <xdr:nvSpPr>
        <xdr:cNvPr id="53622" name="Line 12">
          <a:extLst>
            <a:ext uri="{FF2B5EF4-FFF2-40B4-BE49-F238E27FC236}">
              <a16:creationId xmlns:a16="http://schemas.microsoft.com/office/drawing/2014/main" id="{84C3F204-F9A6-4262-9685-EA7577EC06FB}"/>
            </a:ext>
          </a:extLst>
        </xdr:cNvPr>
        <xdr:cNvSpPr>
          <a:spLocks noChangeShapeType="1"/>
        </xdr:cNvSpPr>
      </xdr:nvSpPr>
      <xdr:spPr bwMode="auto">
        <a:xfrm flipH="1" flipV="1">
          <a:off x="2600325" y="48291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19</xdr:row>
      <xdr:rowOff>9525</xdr:rowOff>
    </xdr:from>
    <xdr:to>
      <xdr:col>43</xdr:col>
      <xdr:colOff>0</xdr:colOff>
      <xdr:row>19</xdr:row>
      <xdr:rowOff>76200</xdr:rowOff>
    </xdr:to>
    <xdr:sp macro="" textlink="">
      <xdr:nvSpPr>
        <xdr:cNvPr id="53623" name="Line 13">
          <a:extLst>
            <a:ext uri="{FF2B5EF4-FFF2-40B4-BE49-F238E27FC236}">
              <a16:creationId xmlns:a16="http://schemas.microsoft.com/office/drawing/2014/main" id="{D3AE9850-E53F-41E5-864D-CD480A907AC0}"/>
            </a:ext>
          </a:extLst>
        </xdr:cNvPr>
        <xdr:cNvSpPr>
          <a:spLocks noChangeShapeType="1"/>
        </xdr:cNvSpPr>
      </xdr:nvSpPr>
      <xdr:spPr bwMode="auto">
        <a:xfrm flipV="1">
          <a:off x="2600325" y="48101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19</xdr:row>
      <xdr:rowOff>57150</xdr:rowOff>
    </xdr:from>
    <xdr:to>
      <xdr:col>43</xdr:col>
      <xdr:colOff>0</xdr:colOff>
      <xdr:row>19</xdr:row>
      <xdr:rowOff>57150</xdr:rowOff>
    </xdr:to>
    <xdr:sp macro="" textlink="">
      <xdr:nvSpPr>
        <xdr:cNvPr id="53624" name="Line 14">
          <a:extLst>
            <a:ext uri="{FF2B5EF4-FFF2-40B4-BE49-F238E27FC236}">
              <a16:creationId xmlns:a16="http://schemas.microsoft.com/office/drawing/2014/main" id="{55857689-E839-41A7-ADEE-E71B90E47B62}"/>
            </a:ext>
          </a:extLst>
        </xdr:cNvPr>
        <xdr:cNvSpPr>
          <a:spLocks noChangeShapeType="1"/>
        </xdr:cNvSpPr>
      </xdr:nvSpPr>
      <xdr:spPr bwMode="auto">
        <a:xfrm flipH="1">
          <a:off x="2600325" y="4857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152400</xdr:rowOff>
    </xdr:from>
    <xdr:to>
      <xdr:col>43</xdr:col>
      <xdr:colOff>0</xdr:colOff>
      <xdr:row>30</xdr:row>
      <xdr:rowOff>66675</xdr:rowOff>
    </xdr:to>
    <xdr:sp macro="" textlink="">
      <xdr:nvSpPr>
        <xdr:cNvPr id="53625" name="Line 15">
          <a:extLst>
            <a:ext uri="{FF2B5EF4-FFF2-40B4-BE49-F238E27FC236}">
              <a16:creationId xmlns:a16="http://schemas.microsoft.com/office/drawing/2014/main" id="{BEE297A7-1EF5-4AA7-AD45-2324674E56D5}"/>
            </a:ext>
          </a:extLst>
        </xdr:cNvPr>
        <xdr:cNvSpPr>
          <a:spLocks noChangeShapeType="1"/>
        </xdr:cNvSpPr>
      </xdr:nvSpPr>
      <xdr:spPr bwMode="auto">
        <a:xfrm flipV="1">
          <a:off x="26003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0</xdr:rowOff>
    </xdr:from>
    <xdr:to>
      <xdr:col>43</xdr:col>
      <xdr:colOff>0</xdr:colOff>
      <xdr:row>31</xdr:row>
      <xdr:rowOff>28575</xdr:rowOff>
    </xdr:to>
    <xdr:sp macro="" textlink="">
      <xdr:nvSpPr>
        <xdr:cNvPr id="53626" name="Arc 17">
          <a:extLst>
            <a:ext uri="{FF2B5EF4-FFF2-40B4-BE49-F238E27FC236}">
              <a16:creationId xmlns:a16="http://schemas.microsoft.com/office/drawing/2014/main" id="{A2931BB9-5C18-43D2-8648-F23054F347D5}"/>
            </a:ext>
          </a:extLst>
        </xdr:cNvPr>
        <xdr:cNvSpPr>
          <a:spLocks/>
        </xdr:cNvSpPr>
      </xdr:nvSpPr>
      <xdr:spPr bwMode="auto">
        <a:xfrm flipH="1">
          <a:off x="26003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0</xdr:rowOff>
    </xdr:from>
    <xdr:to>
      <xdr:col>43</xdr:col>
      <xdr:colOff>0</xdr:colOff>
      <xdr:row>31</xdr:row>
      <xdr:rowOff>47625</xdr:rowOff>
    </xdr:to>
    <xdr:sp macro="" textlink="">
      <xdr:nvSpPr>
        <xdr:cNvPr id="53627" name="Arc 18">
          <a:extLst>
            <a:ext uri="{FF2B5EF4-FFF2-40B4-BE49-F238E27FC236}">
              <a16:creationId xmlns:a16="http://schemas.microsoft.com/office/drawing/2014/main" id="{02C297EA-F11A-4C34-B46E-635049F2250B}"/>
            </a:ext>
          </a:extLst>
        </xdr:cNvPr>
        <xdr:cNvSpPr>
          <a:spLocks/>
        </xdr:cNvSpPr>
      </xdr:nvSpPr>
      <xdr:spPr bwMode="auto">
        <a:xfrm>
          <a:off x="26003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28575</xdr:rowOff>
    </xdr:from>
    <xdr:to>
      <xdr:col>43</xdr:col>
      <xdr:colOff>0</xdr:colOff>
      <xdr:row>31</xdr:row>
      <xdr:rowOff>85725</xdr:rowOff>
    </xdr:to>
    <xdr:sp macro="" textlink="">
      <xdr:nvSpPr>
        <xdr:cNvPr id="53628" name="Arc 19">
          <a:extLst>
            <a:ext uri="{FF2B5EF4-FFF2-40B4-BE49-F238E27FC236}">
              <a16:creationId xmlns:a16="http://schemas.microsoft.com/office/drawing/2014/main" id="{CE2563DD-EE80-40BD-B575-F788FC3920C5}"/>
            </a:ext>
          </a:extLst>
        </xdr:cNvPr>
        <xdr:cNvSpPr>
          <a:spLocks/>
        </xdr:cNvSpPr>
      </xdr:nvSpPr>
      <xdr:spPr bwMode="auto">
        <a:xfrm>
          <a:off x="26003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83</xdr:row>
      <xdr:rowOff>28575</xdr:rowOff>
    </xdr:from>
    <xdr:to>
      <xdr:col>43</xdr:col>
      <xdr:colOff>0</xdr:colOff>
      <xdr:row>83</xdr:row>
      <xdr:rowOff>85725</xdr:rowOff>
    </xdr:to>
    <xdr:sp macro="" textlink="">
      <xdr:nvSpPr>
        <xdr:cNvPr id="53629" name="Line 20">
          <a:extLst>
            <a:ext uri="{FF2B5EF4-FFF2-40B4-BE49-F238E27FC236}">
              <a16:creationId xmlns:a16="http://schemas.microsoft.com/office/drawing/2014/main" id="{52A8DD3D-AE29-42D7-BCF2-D53B7FFAA94D}"/>
            </a:ext>
          </a:extLst>
        </xdr:cNvPr>
        <xdr:cNvSpPr>
          <a:spLocks noChangeShapeType="1"/>
        </xdr:cNvSpPr>
      </xdr:nvSpPr>
      <xdr:spPr bwMode="auto">
        <a:xfrm flipH="1" flipV="1">
          <a:off x="2600325" y="88773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83</xdr:row>
      <xdr:rowOff>9525</xdr:rowOff>
    </xdr:from>
    <xdr:to>
      <xdr:col>43</xdr:col>
      <xdr:colOff>0</xdr:colOff>
      <xdr:row>83</xdr:row>
      <xdr:rowOff>76200</xdr:rowOff>
    </xdr:to>
    <xdr:sp macro="" textlink="">
      <xdr:nvSpPr>
        <xdr:cNvPr id="53630" name="Line 21">
          <a:extLst>
            <a:ext uri="{FF2B5EF4-FFF2-40B4-BE49-F238E27FC236}">
              <a16:creationId xmlns:a16="http://schemas.microsoft.com/office/drawing/2014/main" id="{493FFCD7-0EBA-4802-A7A7-74840C23CB94}"/>
            </a:ext>
          </a:extLst>
        </xdr:cNvPr>
        <xdr:cNvSpPr>
          <a:spLocks noChangeShapeType="1"/>
        </xdr:cNvSpPr>
      </xdr:nvSpPr>
      <xdr:spPr bwMode="auto">
        <a:xfrm flipV="1">
          <a:off x="2600325" y="88582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83</xdr:row>
      <xdr:rowOff>57150</xdr:rowOff>
    </xdr:from>
    <xdr:to>
      <xdr:col>43</xdr:col>
      <xdr:colOff>0</xdr:colOff>
      <xdr:row>83</xdr:row>
      <xdr:rowOff>57150</xdr:rowOff>
    </xdr:to>
    <xdr:sp macro="" textlink="">
      <xdr:nvSpPr>
        <xdr:cNvPr id="53631" name="Line 22">
          <a:extLst>
            <a:ext uri="{FF2B5EF4-FFF2-40B4-BE49-F238E27FC236}">
              <a16:creationId xmlns:a16="http://schemas.microsoft.com/office/drawing/2014/main" id="{E00F9B72-3EDB-421A-B13B-748A6F85F1A5}"/>
            </a:ext>
          </a:extLst>
        </xdr:cNvPr>
        <xdr:cNvSpPr>
          <a:spLocks noChangeShapeType="1"/>
        </xdr:cNvSpPr>
      </xdr:nvSpPr>
      <xdr:spPr bwMode="auto">
        <a:xfrm flipH="1">
          <a:off x="2600325" y="890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152400</xdr:rowOff>
    </xdr:from>
    <xdr:to>
      <xdr:col>43</xdr:col>
      <xdr:colOff>0</xdr:colOff>
      <xdr:row>31</xdr:row>
      <xdr:rowOff>66675</xdr:rowOff>
    </xdr:to>
    <xdr:sp macro="" textlink="">
      <xdr:nvSpPr>
        <xdr:cNvPr id="53632" name="Line 23">
          <a:extLst>
            <a:ext uri="{FF2B5EF4-FFF2-40B4-BE49-F238E27FC236}">
              <a16:creationId xmlns:a16="http://schemas.microsoft.com/office/drawing/2014/main" id="{9E07CD94-1325-45BE-93B3-60B87D4EFF59}"/>
            </a:ext>
          </a:extLst>
        </xdr:cNvPr>
        <xdr:cNvSpPr>
          <a:spLocks noChangeShapeType="1"/>
        </xdr:cNvSpPr>
      </xdr:nvSpPr>
      <xdr:spPr bwMode="auto">
        <a:xfrm flipV="1">
          <a:off x="26003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29</xdr:row>
      <xdr:rowOff>0</xdr:rowOff>
    </xdr:from>
    <xdr:to>
      <xdr:col>45</xdr:col>
      <xdr:colOff>0</xdr:colOff>
      <xdr:row>30</xdr:row>
      <xdr:rowOff>28575</xdr:rowOff>
    </xdr:to>
    <xdr:sp macro="" textlink="">
      <xdr:nvSpPr>
        <xdr:cNvPr id="287" name="Arc 9">
          <a:extLst>
            <a:ext uri="{FF2B5EF4-FFF2-40B4-BE49-F238E27FC236}">
              <a16:creationId xmlns:a16="http://schemas.microsoft.com/office/drawing/2014/main" id="{20C43842-16FD-46CC-84DE-C10DFE14D48C}"/>
            </a:ext>
          </a:extLst>
        </xdr:cNvPr>
        <xdr:cNvSpPr>
          <a:spLocks/>
        </xdr:cNvSpPr>
      </xdr:nvSpPr>
      <xdr:spPr bwMode="auto">
        <a:xfrm flipH="1">
          <a:off x="144875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29</xdr:row>
      <xdr:rowOff>0</xdr:rowOff>
    </xdr:from>
    <xdr:to>
      <xdr:col>45</xdr:col>
      <xdr:colOff>0</xdr:colOff>
      <xdr:row>30</xdr:row>
      <xdr:rowOff>47625</xdr:rowOff>
    </xdr:to>
    <xdr:sp macro="" textlink="">
      <xdr:nvSpPr>
        <xdr:cNvPr id="288" name="Arc 10">
          <a:extLst>
            <a:ext uri="{FF2B5EF4-FFF2-40B4-BE49-F238E27FC236}">
              <a16:creationId xmlns:a16="http://schemas.microsoft.com/office/drawing/2014/main" id="{94083137-9164-4E8C-9BAE-A23D9F5CBFED}"/>
            </a:ext>
          </a:extLst>
        </xdr:cNvPr>
        <xdr:cNvSpPr>
          <a:spLocks/>
        </xdr:cNvSpPr>
      </xdr:nvSpPr>
      <xdr:spPr bwMode="auto">
        <a:xfrm>
          <a:off x="144875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29</xdr:row>
      <xdr:rowOff>28575</xdr:rowOff>
    </xdr:from>
    <xdr:to>
      <xdr:col>45</xdr:col>
      <xdr:colOff>0</xdr:colOff>
      <xdr:row>30</xdr:row>
      <xdr:rowOff>85725</xdr:rowOff>
    </xdr:to>
    <xdr:sp macro="" textlink="">
      <xdr:nvSpPr>
        <xdr:cNvPr id="289" name="Arc 11">
          <a:extLst>
            <a:ext uri="{FF2B5EF4-FFF2-40B4-BE49-F238E27FC236}">
              <a16:creationId xmlns:a16="http://schemas.microsoft.com/office/drawing/2014/main" id="{C887A044-2467-406E-A92E-28573651D8F8}"/>
            </a:ext>
          </a:extLst>
        </xdr:cNvPr>
        <xdr:cNvSpPr>
          <a:spLocks/>
        </xdr:cNvSpPr>
      </xdr:nvSpPr>
      <xdr:spPr bwMode="auto">
        <a:xfrm>
          <a:off x="144875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22</xdr:row>
      <xdr:rowOff>28575</xdr:rowOff>
    </xdr:from>
    <xdr:to>
      <xdr:col>45</xdr:col>
      <xdr:colOff>0</xdr:colOff>
      <xdr:row>22</xdr:row>
      <xdr:rowOff>85725</xdr:rowOff>
    </xdr:to>
    <xdr:sp macro="" textlink="">
      <xdr:nvSpPr>
        <xdr:cNvPr id="290" name="Line 12">
          <a:extLst>
            <a:ext uri="{FF2B5EF4-FFF2-40B4-BE49-F238E27FC236}">
              <a16:creationId xmlns:a16="http://schemas.microsoft.com/office/drawing/2014/main" id="{BD273894-6339-48AE-A075-7D7E38A5E6E7}"/>
            </a:ext>
          </a:extLst>
        </xdr:cNvPr>
        <xdr:cNvSpPr>
          <a:spLocks noChangeShapeType="1"/>
        </xdr:cNvSpPr>
      </xdr:nvSpPr>
      <xdr:spPr bwMode="auto">
        <a:xfrm flipH="1" flipV="1">
          <a:off x="1448752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22</xdr:row>
      <xdr:rowOff>9525</xdr:rowOff>
    </xdr:from>
    <xdr:to>
      <xdr:col>45</xdr:col>
      <xdr:colOff>0</xdr:colOff>
      <xdr:row>22</xdr:row>
      <xdr:rowOff>76200</xdr:rowOff>
    </xdr:to>
    <xdr:sp macro="" textlink="">
      <xdr:nvSpPr>
        <xdr:cNvPr id="291" name="Line 13">
          <a:extLst>
            <a:ext uri="{FF2B5EF4-FFF2-40B4-BE49-F238E27FC236}">
              <a16:creationId xmlns:a16="http://schemas.microsoft.com/office/drawing/2014/main" id="{74FF5D74-AE04-40FB-97E4-0B8A9E4942B4}"/>
            </a:ext>
          </a:extLst>
        </xdr:cNvPr>
        <xdr:cNvSpPr>
          <a:spLocks noChangeShapeType="1"/>
        </xdr:cNvSpPr>
      </xdr:nvSpPr>
      <xdr:spPr bwMode="auto">
        <a:xfrm flipV="1">
          <a:off x="1448752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22</xdr:row>
      <xdr:rowOff>57150</xdr:rowOff>
    </xdr:from>
    <xdr:to>
      <xdr:col>45</xdr:col>
      <xdr:colOff>0</xdr:colOff>
      <xdr:row>22</xdr:row>
      <xdr:rowOff>57150</xdr:rowOff>
    </xdr:to>
    <xdr:sp macro="" textlink="">
      <xdr:nvSpPr>
        <xdr:cNvPr id="292" name="Line 14">
          <a:extLst>
            <a:ext uri="{FF2B5EF4-FFF2-40B4-BE49-F238E27FC236}">
              <a16:creationId xmlns:a16="http://schemas.microsoft.com/office/drawing/2014/main" id="{8E6F8B19-CA52-4B85-8BD1-EFA43FB619A0}"/>
            </a:ext>
          </a:extLst>
        </xdr:cNvPr>
        <xdr:cNvSpPr>
          <a:spLocks noChangeShapeType="1"/>
        </xdr:cNvSpPr>
      </xdr:nvSpPr>
      <xdr:spPr bwMode="auto">
        <a:xfrm flipH="1">
          <a:off x="1448752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29</xdr:row>
      <xdr:rowOff>152400</xdr:rowOff>
    </xdr:from>
    <xdr:to>
      <xdr:col>45</xdr:col>
      <xdr:colOff>0</xdr:colOff>
      <xdr:row>30</xdr:row>
      <xdr:rowOff>66675</xdr:rowOff>
    </xdr:to>
    <xdr:sp macro="" textlink="">
      <xdr:nvSpPr>
        <xdr:cNvPr id="293" name="Line 15">
          <a:extLst>
            <a:ext uri="{FF2B5EF4-FFF2-40B4-BE49-F238E27FC236}">
              <a16:creationId xmlns:a16="http://schemas.microsoft.com/office/drawing/2014/main" id="{EE4E2872-1C80-4EFD-86BA-5B0A8D86BE7C}"/>
            </a:ext>
          </a:extLst>
        </xdr:cNvPr>
        <xdr:cNvSpPr>
          <a:spLocks noChangeShapeType="1"/>
        </xdr:cNvSpPr>
      </xdr:nvSpPr>
      <xdr:spPr bwMode="auto">
        <a:xfrm flipV="1">
          <a:off x="144875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30</xdr:row>
      <xdr:rowOff>0</xdr:rowOff>
    </xdr:from>
    <xdr:to>
      <xdr:col>45</xdr:col>
      <xdr:colOff>0</xdr:colOff>
      <xdr:row>31</xdr:row>
      <xdr:rowOff>28575</xdr:rowOff>
    </xdr:to>
    <xdr:sp macro="" textlink="">
      <xdr:nvSpPr>
        <xdr:cNvPr id="294" name="Arc 17">
          <a:extLst>
            <a:ext uri="{FF2B5EF4-FFF2-40B4-BE49-F238E27FC236}">
              <a16:creationId xmlns:a16="http://schemas.microsoft.com/office/drawing/2014/main" id="{BD3B8F9D-6222-4E5F-AEDA-A5D6ED100C87}"/>
            </a:ext>
          </a:extLst>
        </xdr:cNvPr>
        <xdr:cNvSpPr>
          <a:spLocks/>
        </xdr:cNvSpPr>
      </xdr:nvSpPr>
      <xdr:spPr bwMode="auto">
        <a:xfrm flipH="1">
          <a:off x="144875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30</xdr:row>
      <xdr:rowOff>0</xdr:rowOff>
    </xdr:from>
    <xdr:to>
      <xdr:col>45</xdr:col>
      <xdr:colOff>0</xdr:colOff>
      <xdr:row>31</xdr:row>
      <xdr:rowOff>47625</xdr:rowOff>
    </xdr:to>
    <xdr:sp macro="" textlink="">
      <xdr:nvSpPr>
        <xdr:cNvPr id="295" name="Arc 18">
          <a:extLst>
            <a:ext uri="{FF2B5EF4-FFF2-40B4-BE49-F238E27FC236}">
              <a16:creationId xmlns:a16="http://schemas.microsoft.com/office/drawing/2014/main" id="{5E51DA94-7E85-4D92-9A7D-0620E22BBF2D}"/>
            </a:ext>
          </a:extLst>
        </xdr:cNvPr>
        <xdr:cNvSpPr>
          <a:spLocks/>
        </xdr:cNvSpPr>
      </xdr:nvSpPr>
      <xdr:spPr bwMode="auto">
        <a:xfrm>
          <a:off x="144875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30</xdr:row>
      <xdr:rowOff>28575</xdr:rowOff>
    </xdr:from>
    <xdr:to>
      <xdr:col>45</xdr:col>
      <xdr:colOff>0</xdr:colOff>
      <xdr:row>31</xdr:row>
      <xdr:rowOff>85725</xdr:rowOff>
    </xdr:to>
    <xdr:sp macro="" textlink="">
      <xdr:nvSpPr>
        <xdr:cNvPr id="296" name="Arc 19">
          <a:extLst>
            <a:ext uri="{FF2B5EF4-FFF2-40B4-BE49-F238E27FC236}">
              <a16:creationId xmlns:a16="http://schemas.microsoft.com/office/drawing/2014/main" id="{C5498C42-5E61-4302-B58B-440936A73907}"/>
            </a:ext>
          </a:extLst>
        </xdr:cNvPr>
        <xdr:cNvSpPr>
          <a:spLocks/>
        </xdr:cNvSpPr>
      </xdr:nvSpPr>
      <xdr:spPr bwMode="auto">
        <a:xfrm>
          <a:off x="144875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74</xdr:row>
      <xdr:rowOff>28575</xdr:rowOff>
    </xdr:from>
    <xdr:to>
      <xdr:col>45</xdr:col>
      <xdr:colOff>0</xdr:colOff>
      <xdr:row>74</xdr:row>
      <xdr:rowOff>85725</xdr:rowOff>
    </xdr:to>
    <xdr:sp macro="" textlink="">
      <xdr:nvSpPr>
        <xdr:cNvPr id="297" name="Line 20">
          <a:extLst>
            <a:ext uri="{FF2B5EF4-FFF2-40B4-BE49-F238E27FC236}">
              <a16:creationId xmlns:a16="http://schemas.microsoft.com/office/drawing/2014/main" id="{FB4D69C8-F159-43CE-90D8-9D346C375FCF}"/>
            </a:ext>
          </a:extLst>
        </xdr:cNvPr>
        <xdr:cNvSpPr>
          <a:spLocks noChangeShapeType="1"/>
        </xdr:cNvSpPr>
      </xdr:nvSpPr>
      <xdr:spPr bwMode="auto">
        <a:xfrm flipH="1" flipV="1">
          <a:off x="1448752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74</xdr:row>
      <xdr:rowOff>9525</xdr:rowOff>
    </xdr:from>
    <xdr:to>
      <xdr:col>45</xdr:col>
      <xdr:colOff>0</xdr:colOff>
      <xdr:row>74</xdr:row>
      <xdr:rowOff>76200</xdr:rowOff>
    </xdr:to>
    <xdr:sp macro="" textlink="">
      <xdr:nvSpPr>
        <xdr:cNvPr id="298" name="Line 21">
          <a:extLst>
            <a:ext uri="{FF2B5EF4-FFF2-40B4-BE49-F238E27FC236}">
              <a16:creationId xmlns:a16="http://schemas.microsoft.com/office/drawing/2014/main" id="{045EC331-A1FA-4CE9-A41B-EBA349054B29}"/>
            </a:ext>
          </a:extLst>
        </xdr:cNvPr>
        <xdr:cNvSpPr>
          <a:spLocks noChangeShapeType="1"/>
        </xdr:cNvSpPr>
      </xdr:nvSpPr>
      <xdr:spPr bwMode="auto">
        <a:xfrm flipV="1">
          <a:off x="1448752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74</xdr:row>
      <xdr:rowOff>57150</xdr:rowOff>
    </xdr:from>
    <xdr:to>
      <xdr:col>45</xdr:col>
      <xdr:colOff>0</xdr:colOff>
      <xdr:row>74</xdr:row>
      <xdr:rowOff>57150</xdr:rowOff>
    </xdr:to>
    <xdr:sp macro="" textlink="">
      <xdr:nvSpPr>
        <xdr:cNvPr id="299" name="Line 22">
          <a:extLst>
            <a:ext uri="{FF2B5EF4-FFF2-40B4-BE49-F238E27FC236}">
              <a16:creationId xmlns:a16="http://schemas.microsoft.com/office/drawing/2014/main" id="{ACD1A1AC-1F3C-433B-B45D-30097DD3F128}"/>
            </a:ext>
          </a:extLst>
        </xdr:cNvPr>
        <xdr:cNvSpPr>
          <a:spLocks noChangeShapeType="1"/>
        </xdr:cNvSpPr>
      </xdr:nvSpPr>
      <xdr:spPr bwMode="auto">
        <a:xfrm flipH="1">
          <a:off x="1448752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30</xdr:row>
      <xdr:rowOff>152400</xdr:rowOff>
    </xdr:from>
    <xdr:to>
      <xdr:col>45</xdr:col>
      <xdr:colOff>0</xdr:colOff>
      <xdr:row>31</xdr:row>
      <xdr:rowOff>66675</xdr:rowOff>
    </xdr:to>
    <xdr:sp macro="" textlink="">
      <xdr:nvSpPr>
        <xdr:cNvPr id="300" name="Line 23">
          <a:extLst>
            <a:ext uri="{FF2B5EF4-FFF2-40B4-BE49-F238E27FC236}">
              <a16:creationId xmlns:a16="http://schemas.microsoft.com/office/drawing/2014/main" id="{4D44DC6F-C95C-439F-A7FF-EC92B4572008}"/>
            </a:ext>
          </a:extLst>
        </xdr:cNvPr>
        <xdr:cNvSpPr>
          <a:spLocks noChangeShapeType="1"/>
        </xdr:cNvSpPr>
      </xdr:nvSpPr>
      <xdr:spPr bwMode="auto">
        <a:xfrm flipV="1">
          <a:off x="144875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29</xdr:row>
      <xdr:rowOff>0</xdr:rowOff>
    </xdr:from>
    <xdr:to>
      <xdr:col>47</xdr:col>
      <xdr:colOff>0</xdr:colOff>
      <xdr:row>30</xdr:row>
      <xdr:rowOff>28575</xdr:rowOff>
    </xdr:to>
    <xdr:sp macro="" textlink="">
      <xdr:nvSpPr>
        <xdr:cNvPr id="301" name="Arc 9">
          <a:extLst>
            <a:ext uri="{FF2B5EF4-FFF2-40B4-BE49-F238E27FC236}">
              <a16:creationId xmlns:a16="http://schemas.microsoft.com/office/drawing/2014/main" id="{4D02C52F-BC15-4E8C-ACA4-0DD7F86DDAE9}"/>
            </a:ext>
          </a:extLst>
        </xdr:cNvPr>
        <xdr:cNvSpPr>
          <a:spLocks/>
        </xdr:cNvSpPr>
      </xdr:nvSpPr>
      <xdr:spPr bwMode="auto">
        <a:xfrm flipH="1">
          <a:off x="28860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29</xdr:row>
      <xdr:rowOff>0</xdr:rowOff>
    </xdr:from>
    <xdr:to>
      <xdr:col>47</xdr:col>
      <xdr:colOff>0</xdr:colOff>
      <xdr:row>30</xdr:row>
      <xdr:rowOff>47625</xdr:rowOff>
    </xdr:to>
    <xdr:sp macro="" textlink="">
      <xdr:nvSpPr>
        <xdr:cNvPr id="302" name="Arc 10">
          <a:extLst>
            <a:ext uri="{FF2B5EF4-FFF2-40B4-BE49-F238E27FC236}">
              <a16:creationId xmlns:a16="http://schemas.microsoft.com/office/drawing/2014/main" id="{0C7FE00C-0CF5-4178-B9F8-FCA7482FEB8B}"/>
            </a:ext>
          </a:extLst>
        </xdr:cNvPr>
        <xdr:cNvSpPr>
          <a:spLocks/>
        </xdr:cNvSpPr>
      </xdr:nvSpPr>
      <xdr:spPr bwMode="auto">
        <a:xfrm>
          <a:off x="28860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29</xdr:row>
      <xdr:rowOff>28575</xdr:rowOff>
    </xdr:from>
    <xdr:to>
      <xdr:col>47</xdr:col>
      <xdr:colOff>0</xdr:colOff>
      <xdr:row>30</xdr:row>
      <xdr:rowOff>85725</xdr:rowOff>
    </xdr:to>
    <xdr:sp macro="" textlink="">
      <xdr:nvSpPr>
        <xdr:cNvPr id="303" name="Arc 11">
          <a:extLst>
            <a:ext uri="{FF2B5EF4-FFF2-40B4-BE49-F238E27FC236}">
              <a16:creationId xmlns:a16="http://schemas.microsoft.com/office/drawing/2014/main" id="{22300B8E-4540-4031-996B-4DA3EF21402D}"/>
            </a:ext>
          </a:extLst>
        </xdr:cNvPr>
        <xdr:cNvSpPr>
          <a:spLocks/>
        </xdr:cNvSpPr>
      </xdr:nvSpPr>
      <xdr:spPr bwMode="auto">
        <a:xfrm>
          <a:off x="28860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71</xdr:row>
      <xdr:rowOff>28575</xdr:rowOff>
    </xdr:from>
    <xdr:to>
      <xdr:col>47</xdr:col>
      <xdr:colOff>0</xdr:colOff>
      <xdr:row>71</xdr:row>
      <xdr:rowOff>85725</xdr:rowOff>
    </xdr:to>
    <xdr:sp macro="" textlink="">
      <xdr:nvSpPr>
        <xdr:cNvPr id="304" name="Line 12">
          <a:extLst>
            <a:ext uri="{FF2B5EF4-FFF2-40B4-BE49-F238E27FC236}">
              <a16:creationId xmlns:a16="http://schemas.microsoft.com/office/drawing/2014/main" id="{BD103FEA-5816-40AB-ABE4-8886DDAE495F}"/>
            </a:ext>
          </a:extLst>
        </xdr:cNvPr>
        <xdr:cNvSpPr>
          <a:spLocks noChangeShapeType="1"/>
        </xdr:cNvSpPr>
      </xdr:nvSpPr>
      <xdr:spPr bwMode="auto">
        <a:xfrm flipH="1" flipV="1">
          <a:off x="288607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71</xdr:row>
      <xdr:rowOff>9525</xdr:rowOff>
    </xdr:from>
    <xdr:to>
      <xdr:col>47</xdr:col>
      <xdr:colOff>0</xdr:colOff>
      <xdr:row>71</xdr:row>
      <xdr:rowOff>76200</xdr:rowOff>
    </xdr:to>
    <xdr:sp macro="" textlink="">
      <xdr:nvSpPr>
        <xdr:cNvPr id="305" name="Line 13">
          <a:extLst>
            <a:ext uri="{FF2B5EF4-FFF2-40B4-BE49-F238E27FC236}">
              <a16:creationId xmlns:a16="http://schemas.microsoft.com/office/drawing/2014/main" id="{F66D62A4-F28E-4AEF-911F-A7CA2C72B094}"/>
            </a:ext>
          </a:extLst>
        </xdr:cNvPr>
        <xdr:cNvSpPr>
          <a:spLocks noChangeShapeType="1"/>
        </xdr:cNvSpPr>
      </xdr:nvSpPr>
      <xdr:spPr bwMode="auto">
        <a:xfrm flipV="1">
          <a:off x="288607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71</xdr:row>
      <xdr:rowOff>57150</xdr:rowOff>
    </xdr:from>
    <xdr:to>
      <xdr:col>47</xdr:col>
      <xdr:colOff>0</xdr:colOff>
      <xdr:row>71</xdr:row>
      <xdr:rowOff>57150</xdr:rowOff>
    </xdr:to>
    <xdr:sp macro="" textlink="">
      <xdr:nvSpPr>
        <xdr:cNvPr id="306" name="Line 14">
          <a:extLst>
            <a:ext uri="{FF2B5EF4-FFF2-40B4-BE49-F238E27FC236}">
              <a16:creationId xmlns:a16="http://schemas.microsoft.com/office/drawing/2014/main" id="{D885BEF6-319D-4EBB-8114-3ACCDB4C75B4}"/>
            </a:ext>
          </a:extLst>
        </xdr:cNvPr>
        <xdr:cNvSpPr>
          <a:spLocks noChangeShapeType="1"/>
        </xdr:cNvSpPr>
      </xdr:nvSpPr>
      <xdr:spPr bwMode="auto">
        <a:xfrm flipH="1">
          <a:off x="288607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29</xdr:row>
      <xdr:rowOff>152400</xdr:rowOff>
    </xdr:from>
    <xdr:to>
      <xdr:col>47</xdr:col>
      <xdr:colOff>0</xdr:colOff>
      <xdr:row>30</xdr:row>
      <xdr:rowOff>66675</xdr:rowOff>
    </xdr:to>
    <xdr:sp macro="" textlink="">
      <xdr:nvSpPr>
        <xdr:cNvPr id="307" name="Line 15">
          <a:extLst>
            <a:ext uri="{FF2B5EF4-FFF2-40B4-BE49-F238E27FC236}">
              <a16:creationId xmlns:a16="http://schemas.microsoft.com/office/drawing/2014/main" id="{698F7AA2-0039-4070-8FFA-279DDC878B86}"/>
            </a:ext>
          </a:extLst>
        </xdr:cNvPr>
        <xdr:cNvSpPr>
          <a:spLocks noChangeShapeType="1"/>
        </xdr:cNvSpPr>
      </xdr:nvSpPr>
      <xdr:spPr bwMode="auto">
        <a:xfrm flipV="1">
          <a:off x="28860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30</xdr:row>
      <xdr:rowOff>0</xdr:rowOff>
    </xdr:from>
    <xdr:to>
      <xdr:col>47</xdr:col>
      <xdr:colOff>0</xdr:colOff>
      <xdr:row>31</xdr:row>
      <xdr:rowOff>28575</xdr:rowOff>
    </xdr:to>
    <xdr:sp macro="" textlink="">
      <xdr:nvSpPr>
        <xdr:cNvPr id="308" name="Arc 17">
          <a:extLst>
            <a:ext uri="{FF2B5EF4-FFF2-40B4-BE49-F238E27FC236}">
              <a16:creationId xmlns:a16="http://schemas.microsoft.com/office/drawing/2014/main" id="{A6352574-C9EC-4857-BF5F-8E4237440BC9}"/>
            </a:ext>
          </a:extLst>
        </xdr:cNvPr>
        <xdr:cNvSpPr>
          <a:spLocks/>
        </xdr:cNvSpPr>
      </xdr:nvSpPr>
      <xdr:spPr bwMode="auto">
        <a:xfrm flipH="1">
          <a:off x="28860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30</xdr:row>
      <xdr:rowOff>0</xdr:rowOff>
    </xdr:from>
    <xdr:to>
      <xdr:col>47</xdr:col>
      <xdr:colOff>0</xdr:colOff>
      <xdr:row>31</xdr:row>
      <xdr:rowOff>47625</xdr:rowOff>
    </xdr:to>
    <xdr:sp macro="" textlink="">
      <xdr:nvSpPr>
        <xdr:cNvPr id="309" name="Arc 18">
          <a:extLst>
            <a:ext uri="{FF2B5EF4-FFF2-40B4-BE49-F238E27FC236}">
              <a16:creationId xmlns:a16="http://schemas.microsoft.com/office/drawing/2014/main" id="{FB1DA777-4925-4F22-8869-4482341EA000}"/>
            </a:ext>
          </a:extLst>
        </xdr:cNvPr>
        <xdr:cNvSpPr>
          <a:spLocks/>
        </xdr:cNvSpPr>
      </xdr:nvSpPr>
      <xdr:spPr bwMode="auto">
        <a:xfrm>
          <a:off x="28860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30</xdr:row>
      <xdr:rowOff>28575</xdr:rowOff>
    </xdr:from>
    <xdr:to>
      <xdr:col>47</xdr:col>
      <xdr:colOff>0</xdr:colOff>
      <xdr:row>31</xdr:row>
      <xdr:rowOff>85725</xdr:rowOff>
    </xdr:to>
    <xdr:sp macro="" textlink="">
      <xdr:nvSpPr>
        <xdr:cNvPr id="310" name="Arc 19">
          <a:extLst>
            <a:ext uri="{FF2B5EF4-FFF2-40B4-BE49-F238E27FC236}">
              <a16:creationId xmlns:a16="http://schemas.microsoft.com/office/drawing/2014/main" id="{27CF3853-C30E-4751-BAF6-0CD1166A6FA2}"/>
            </a:ext>
          </a:extLst>
        </xdr:cNvPr>
        <xdr:cNvSpPr>
          <a:spLocks/>
        </xdr:cNvSpPr>
      </xdr:nvSpPr>
      <xdr:spPr bwMode="auto">
        <a:xfrm>
          <a:off x="28860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86</xdr:row>
      <xdr:rowOff>28575</xdr:rowOff>
    </xdr:from>
    <xdr:to>
      <xdr:col>47</xdr:col>
      <xdr:colOff>0</xdr:colOff>
      <xdr:row>86</xdr:row>
      <xdr:rowOff>85725</xdr:rowOff>
    </xdr:to>
    <xdr:sp macro="" textlink="">
      <xdr:nvSpPr>
        <xdr:cNvPr id="311" name="Line 20">
          <a:extLst>
            <a:ext uri="{FF2B5EF4-FFF2-40B4-BE49-F238E27FC236}">
              <a16:creationId xmlns:a16="http://schemas.microsoft.com/office/drawing/2014/main" id="{BDF81EFF-7C43-4726-9DB4-0E1C399D9C4C}"/>
            </a:ext>
          </a:extLst>
        </xdr:cNvPr>
        <xdr:cNvSpPr>
          <a:spLocks noChangeShapeType="1"/>
        </xdr:cNvSpPr>
      </xdr:nvSpPr>
      <xdr:spPr bwMode="auto">
        <a:xfrm flipH="1" flipV="1">
          <a:off x="288607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86</xdr:row>
      <xdr:rowOff>9525</xdr:rowOff>
    </xdr:from>
    <xdr:to>
      <xdr:col>47</xdr:col>
      <xdr:colOff>0</xdr:colOff>
      <xdr:row>86</xdr:row>
      <xdr:rowOff>76200</xdr:rowOff>
    </xdr:to>
    <xdr:sp macro="" textlink="">
      <xdr:nvSpPr>
        <xdr:cNvPr id="312" name="Line 21">
          <a:extLst>
            <a:ext uri="{FF2B5EF4-FFF2-40B4-BE49-F238E27FC236}">
              <a16:creationId xmlns:a16="http://schemas.microsoft.com/office/drawing/2014/main" id="{4487E1F8-A6D4-417D-8FD0-45AF5F8F6DD3}"/>
            </a:ext>
          </a:extLst>
        </xdr:cNvPr>
        <xdr:cNvSpPr>
          <a:spLocks noChangeShapeType="1"/>
        </xdr:cNvSpPr>
      </xdr:nvSpPr>
      <xdr:spPr bwMode="auto">
        <a:xfrm flipV="1">
          <a:off x="288607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86</xdr:row>
      <xdr:rowOff>57150</xdr:rowOff>
    </xdr:from>
    <xdr:to>
      <xdr:col>47</xdr:col>
      <xdr:colOff>0</xdr:colOff>
      <xdr:row>86</xdr:row>
      <xdr:rowOff>57150</xdr:rowOff>
    </xdr:to>
    <xdr:sp macro="" textlink="">
      <xdr:nvSpPr>
        <xdr:cNvPr id="313" name="Line 22">
          <a:extLst>
            <a:ext uri="{FF2B5EF4-FFF2-40B4-BE49-F238E27FC236}">
              <a16:creationId xmlns:a16="http://schemas.microsoft.com/office/drawing/2014/main" id="{A3B0436C-F63A-456B-988B-E5F331AD1330}"/>
            </a:ext>
          </a:extLst>
        </xdr:cNvPr>
        <xdr:cNvSpPr>
          <a:spLocks noChangeShapeType="1"/>
        </xdr:cNvSpPr>
      </xdr:nvSpPr>
      <xdr:spPr bwMode="auto">
        <a:xfrm flipH="1">
          <a:off x="288607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30</xdr:row>
      <xdr:rowOff>152400</xdr:rowOff>
    </xdr:from>
    <xdr:to>
      <xdr:col>47</xdr:col>
      <xdr:colOff>0</xdr:colOff>
      <xdr:row>31</xdr:row>
      <xdr:rowOff>66675</xdr:rowOff>
    </xdr:to>
    <xdr:sp macro="" textlink="">
      <xdr:nvSpPr>
        <xdr:cNvPr id="314" name="Line 23">
          <a:extLst>
            <a:ext uri="{FF2B5EF4-FFF2-40B4-BE49-F238E27FC236}">
              <a16:creationId xmlns:a16="http://schemas.microsoft.com/office/drawing/2014/main" id="{42D80628-B01C-4907-839B-E660FA05DB0C}"/>
            </a:ext>
          </a:extLst>
        </xdr:cNvPr>
        <xdr:cNvSpPr>
          <a:spLocks noChangeShapeType="1"/>
        </xdr:cNvSpPr>
      </xdr:nvSpPr>
      <xdr:spPr bwMode="auto">
        <a:xfrm flipV="1">
          <a:off x="28860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29</xdr:row>
      <xdr:rowOff>0</xdr:rowOff>
    </xdr:from>
    <xdr:to>
      <xdr:col>48</xdr:col>
      <xdr:colOff>0</xdr:colOff>
      <xdr:row>30</xdr:row>
      <xdr:rowOff>28575</xdr:rowOff>
    </xdr:to>
    <xdr:sp macro="" textlink="">
      <xdr:nvSpPr>
        <xdr:cNvPr id="315" name="Arc 9">
          <a:extLst>
            <a:ext uri="{FF2B5EF4-FFF2-40B4-BE49-F238E27FC236}">
              <a16:creationId xmlns:a16="http://schemas.microsoft.com/office/drawing/2014/main" id="{CB2034F7-56B8-4BB1-B64B-A495F5855290}"/>
            </a:ext>
          </a:extLst>
        </xdr:cNvPr>
        <xdr:cNvSpPr>
          <a:spLocks/>
        </xdr:cNvSpPr>
      </xdr:nvSpPr>
      <xdr:spPr bwMode="auto">
        <a:xfrm flipH="1">
          <a:off x="29432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29</xdr:row>
      <xdr:rowOff>0</xdr:rowOff>
    </xdr:from>
    <xdr:to>
      <xdr:col>48</xdr:col>
      <xdr:colOff>0</xdr:colOff>
      <xdr:row>30</xdr:row>
      <xdr:rowOff>47625</xdr:rowOff>
    </xdr:to>
    <xdr:sp macro="" textlink="">
      <xdr:nvSpPr>
        <xdr:cNvPr id="316" name="Arc 10">
          <a:extLst>
            <a:ext uri="{FF2B5EF4-FFF2-40B4-BE49-F238E27FC236}">
              <a16:creationId xmlns:a16="http://schemas.microsoft.com/office/drawing/2014/main" id="{593E93A6-FA0C-4EAA-AE2E-AE5667CDBE2A}"/>
            </a:ext>
          </a:extLst>
        </xdr:cNvPr>
        <xdr:cNvSpPr>
          <a:spLocks/>
        </xdr:cNvSpPr>
      </xdr:nvSpPr>
      <xdr:spPr bwMode="auto">
        <a:xfrm>
          <a:off x="29432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29</xdr:row>
      <xdr:rowOff>28575</xdr:rowOff>
    </xdr:from>
    <xdr:to>
      <xdr:col>48</xdr:col>
      <xdr:colOff>0</xdr:colOff>
      <xdr:row>30</xdr:row>
      <xdr:rowOff>85725</xdr:rowOff>
    </xdr:to>
    <xdr:sp macro="" textlink="">
      <xdr:nvSpPr>
        <xdr:cNvPr id="317" name="Arc 11">
          <a:extLst>
            <a:ext uri="{FF2B5EF4-FFF2-40B4-BE49-F238E27FC236}">
              <a16:creationId xmlns:a16="http://schemas.microsoft.com/office/drawing/2014/main" id="{0300CB3F-3D60-4EEC-800B-ED3A6EE51EC8}"/>
            </a:ext>
          </a:extLst>
        </xdr:cNvPr>
        <xdr:cNvSpPr>
          <a:spLocks/>
        </xdr:cNvSpPr>
      </xdr:nvSpPr>
      <xdr:spPr bwMode="auto">
        <a:xfrm>
          <a:off x="29432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22</xdr:row>
      <xdr:rowOff>28575</xdr:rowOff>
    </xdr:from>
    <xdr:to>
      <xdr:col>48</xdr:col>
      <xdr:colOff>0</xdr:colOff>
      <xdr:row>22</xdr:row>
      <xdr:rowOff>85725</xdr:rowOff>
    </xdr:to>
    <xdr:sp macro="" textlink="">
      <xdr:nvSpPr>
        <xdr:cNvPr id="318" name="Line 12">
          <a:extLst>
            <a:ext uri="{FF2B5EF4-FFF2-40B4-BE49-F238E27FC236}">
              <a16:creationId xmlns:a16="http://schemas.microsoft.com/office/drawing/2014/main" id="{4E3CAAFB-9494-4968-AE7D-C2F8E6E51CD4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22</xdr:row>
      <xdr:rowOff>9525</xdr:rowOff>
    </xdr:from>
    <xdr:to>
      <xdr:col>48</xdr:col>
      <xdr:colOff>0</xdr:colOff>
      <xdr:row>22</xdr:row>
      <xdr:rowOff>76200</xdr:rowOff>
    </xdr:to>
    <xdr:sp macro="" textlink="">
      <xdr:nvSpPr>
        <xdr:cNvPr id="319" name="Line 13">
          <a:extLst>
            <a:ext uri="{FF2B5EF4-FFF2-40B4-BE49-F238E27FC236}">
              <a16:creationId xmlns:a16="http://schemas.microsoft.com/office/drawing/2014/main" id="{FF4A5D45-9ED8-49F5-B329-36186AD34806}"/>
            </a:ext>
          </a:extLst>
        </xdr:cNvPr>
        <xdr:cNvSpPr>
          <a:spLocks noChangeShapeType="1"/>
        </xdr:cNvSpPr>
      </xdr:nvSpPr>
      <xdr:spPr bwMode="auto">
        <a:xfrm flipV="1">
          <a:off x="294322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22</xdr:row>
      <xdr:rowOff>57150</xdr:rowOff>
    </xdr:from>
    <xdr:to>
      <xdr:col>48</xdr:col>
      <xdr:colOff>0</xdr:colOff>
      <xdr:row>22</xdr:row>
      <xdr:rowOff>57150</xdr:rowOff>
    </xdr:to>
    <xdr:sp macro="" textlink="">
      <xdr:nvSpPr>
        <xdr:cNvPr id="320" name="Line 14">
          <a:extLst>
            <a:ext uri="{FF2B5EF4-FFF2-40B4-BE49-F238E27FC236}">
              <a16:creationId xmlns:a16="http://schemas.microsoft.com/office/drawing/2014/main" id="{C00CA1A6-B3B9-4A4D-A1CD-EE31C088AA39}"/>
            </a:ext>
          </a:extLst>
        </xdr:cNvPr>
        <xdr:cNvSpPr>
          <a:spLocks noChangeShapeType="1"/>
        </xdr:cNvSpPr>
      </xdr:nvSpPr>
      <xdr:spPr bwMode="auto">
        <a:xfrm flipH="1">
          <a:off x="294322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29</xdr:row>
      <xdr:rowOff>152400</xdr:rowOff>
    </xdr:from>
    <xdr:to>
      <xdr:col>48</xdr:col>
      <xdr:colOff>0</xdr:colOff>
      <xdr:row>30</xdr:row>
      <xdr:rowOff>66675</xdr:rowOff>
    </xdr:to>
    <xdr:sp macro="" textlink="">
      <xdr:nvSpPr>
        <xdr:cNvPr id="321" name="Line 15">
          <a:extLst>
            <a:ext uri="{FF2B5EF4-FFF2-40B4-BE49-F238E27FC236}">
              <a16:creationId xmlns:a16="http://schemas.microsoft.com/office/drawing/2014/main" id="{255002D0-163E-43B1-B693-418076FF81F1}"/>
            </a:ext>
          </a:extLst>
        </xdr:cNvPr>
        <xdr:cNvSpPr>
          <a:spLocks noChangeShapeType="1"/>
        </xdr:cNvSpPr>
      </xdr:nvSpPr>
      <xdr:spPr bwMode="auto">
        <a:xfrm flipV="1">
          <a:off x="29432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30</xdr:row>
      <xdr:rowOff>0</xdr:rowOff>
    </xdr:from>
    <xdr:to>
      <xdr:col>48</xdr:col>
      <xdr:colOff>0</xdr:colOff>
      <xdr:row>31</xdr:row>
      <xdr:rowOff>28575</xdr:rowOff>
    </xdr:to>
    <xdr:sp macro="" textlink="">
      <xdr:nvSpPr>
        <xdr:cNvPr id="322" name="Arc 17">
          <a:extLst>
            <a:ext uri="{FF2B5EF4-FFF2-40B4-BE49-F238E27FC236}">
              <a16:creationId xmlns:a16="http://schemas.microsoft.com/office/drawing/2014/main" id="{05094B7A-DA25-4286-B4BC-473A83596D28}"/>
            </a:ext>
          </a:extLst>
        </xdr:cNvPr>
        <xdr:cNvSpPr>
          <a:spLocks/>
        </xdr:cNvSpPr>
      </xdr:nvSpPr>
      <xdr:spPr bwMode="auto">
        <a:xfrm flipH="1">
          <a:off x="29432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30</xdr:row>
      <xdr:rowOff>0</xdr:rowOff>
    </xdr:from>
    <xdr:to>
      <xdr:col>48</xdr:col>
      <xdr:colOff>0</xdr:colOff>
      <xdr:row>31</xdr:row>
      <xdr:rowOff>47625</xdr:rowOff>
    </xdr:to>
    <xdr:sp macro="" textlink="">
      <xdr:nvSpPr>
        <xdr:cNvPr id="323" name="Arc 18">
          <a:extLst>
            <a:ext uri="{FF2B5EF4-FFF2-40B4-BE49-F238E27FC236}">
              <a16:creationId xmlns:a16="http://schemas.microsoft.com/office/drawing/2014/main" id="{230A0AF9-3570-4211-B17E-326659A29840}"/>
            </a:ext>
          </a:extLst>
        </xdr:cNvPr>
        <xdr:cNvSpPr>
          <a:spLocks/>
        </xdr:cNvSpPr>
      </xdr:nvSpPr>
      <xdr:spPr bwMode="auto">
        <a:xfrm>
          <a:off x="29432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30</xdr:row>
      <xdr:rowOff>28575</xdr:rowOff>
    </xdr:from>
    <xdr:to>
      <xdr:col>48</xdr:col>
      <xdr:colOff>0</xdr:colOff>
      <xdr:row>31</xdr:row>
      <xdr:rowOff>85725</xdr:rowOff>
    </xdr:to>
    <xdr:sp macro="" textlink="">
      <xdr:nvSpPr>
        <xdr:cNvPr id="324" name="Arc 19">
          <a:extLst>
            <a:ext uri="{FF2B5EF4-FFF2-40B4-BE49-F238E27FC236}">
              <a16:creationId xmlns:a16="http://schemas.microsoft.com/office/drawing/2014/main" id="{494D2600-93C1-4A49-BF38-671362C74512}"/>
            </a:ext>
          </a:extLst>
        </xdr:cNvPr>
        <xdr:cNvSpPr>
          <a:spLocks/>
        </xdr:cNvSpPr>
      </xdr:nvSpPr>
      <xdr:spPr bwMode="auto">
        <a:xfrm>
          <a:off x="29432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101</xdr:row>
      <xdr:rowOff>28575</xdr:rowOff>
    </xdr:from>
    <xdr:to>
      <xdr:col>48</xdr:col>
      <xdr:colOff>0</xdr:colOff>
      <xdr:row>101</xdr:row>
      <xdr:rowOff>85725</xdr:rowOff>
    </xdr:to>
    <xdr:sp macro="" textlink="">
      <xdr:nvSpPr>
        <xdr:cNvPr id="325" name="Line 20">
          <a:extLst>
            <a:ext uri="{FF2B5EF4-FFF2-40B4-BE49-F238E27FC236}">
              <a16:creationId xmlns:a16="http://schemas.microsoft.com/office/drawing/2014/main" id="{5C8D1E9A-7246-4024-B6D3-7E3027FC46C7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101</xdr:row>
      <xdr:rowOff>9525</xdr:rowOff>
    </xdr:from>
    <xdr:to>
      <xdr:col>48</xdr:col>
      <xdr:colOff>0</xdr:colOff>
      <xdr:row>101</xdr:row>
      <xdr:rowOff>76200</xdr:rowOff>
    </xdr:to>
    <xdr:sp macro="" textlink="">
      <xdr:nvSpPr>
        <xdr:cNvPr id="326" name="Line 21">
          <a:extLst>
            <a:ext uri="{FF2B5EF4-FFF2-40B4-BE49-F238E27FC236}">
              <a16:creationId xmlns:a16="http://schemas.microsoft.com/office/drawing/2014/main" id="{40BA9A68-83C2-41A0-ABD1-B50B370786F8}"/>
            </a:ext>
          </a:extLst>
        </xdr:cNvPr>
        <xdr:cNvSpPr>
          <a:spLocks noChangeShapeType="1"/>
        </xdr:cNvSpPr>
      </xdr:nvSpPr>
      <xdr:spPr bwMode="auto">
        <a:xfrm flipV="1">
          <a:off x="294322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101</xdr:row>
      <xdr:rowOff>57150</xdr:rowOff>
    </xdr:from>
    <xdr:to>
      <xdr:col>48</xdr:col>
      <xdr:colOff>0</xdr:colOff>
      <xdr:row>101</xdr:row>
      <xdr:rowOff>57150</xdr:rowOff>
    </xdr:to>
    <xdr:sp macro="" textlink="">
      <xdr:nvSpPr>
        <xdr:cNvPr id="327" name="Line 22">
          <a:extLst>
            <a:ext uri="{FF2B5EF4-FFF2-40B4-BE49-F238E27FC236}">
              <a16:creationId xmlns:a16="http://schemas.microsoft.com/office/drawing/2014/main" id="{0D616CAE-AC69-4CD8-87BE-206B98787CF9}"/>
            </a:ext>
          </a:extLst>
        </xdr:cNvPr>
        <xdr:cNvSpPr>
          <a:spLocks noChangeShapeType="1"/>
        </xdr:cNvSpPr>
      </xdr:nvSpPr>
      <xdr:spPr bwMode="auto">
        <a:xfrm flipH="1">
          <a:off x="294322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30</xdr:row>
      <xdr:rowOff>152400</xdr:rowOff>
    </xdr:from>
    <xdr:to>
      <xdr:col>48</xdr:col>
      <xdr:colOff>0</xdr:colOff>
      <xdr:row>31</xdr:row>
      <xdr:rowOff>66675</xdr:rowOff>
    </xdr:to>
    <xdr:sp macro="" textlink="">
      <xdr:nvSpPr>
        <xdr:cNvPr id="328" name="Line 23">
          <a:extLst>
            <a:ext uri="{FF2B5EF4-FFF2-40B4-BE49-F238E27FC236}">
              <a16:creationId xmlns:a16="http://schemas.microsoft.com/office/drawing/2014/main" id="{F4FFC34A-BC93-49CA-98A8-2F7B30DA07A4}"/>
            </a:ext>
          </a:extLst>
        </xdr:cNvPr>
        <xdr:cNvSpPr>
          <a:spLocks noChangeShapeType="1"/>
        </xdr:cNvSpPr>
      </xdr:nvSpPr>
      <xdr:spPr bwMode="auto">
        <a:xfrm flipV="1">
          <a:off x="29432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0</xdr:colOff>
      <xdr:row>30</xdr:row>
      <xdr:rowOff>28575</xdr:rowOff>
    </xdr:to>
    <xdr:sp macro="" textlink="">
      <xdr:nvSpPr>
        <xdr:cNvPr id="343" name="Arc 9">
          <a:extLst>
            <a:ext uri="{FF2B5EF4-FFF2-40B4-BE49-F238E27FC236}">
              <a16:creationId xmlns:a16="http://schemas.microsoft.com/office/drawing/2014/main" id="{CCE4E64B-64C2-4DBB-A3C9-AACDFA036B13}"/>
            </a:ext>
          </a:extLst>
        </xdr:cNvPr>
        <xdr:cNvSpPr>
          <a:spLocks/>
        </xdr:cNvSpPr>
      </xdr:nvSpPr>
      <xdr:spPr bwMode="auto">
        <a:xfrm flipH="1">
          <a:off x="29432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0</xdr:colOff>
      <xdr:row>30</xdr:row>
      <xdr:rowOff>47625</xdr:rowOff>
    </xdr:to>
    <xdr:sp macro="" textlink="">
      <xdr:nvSpPr>
        <xdr:cNvPr id="344" name="Arc 10">
          <a:extLst>
            <a:ext uri="{FF2B5EF4-FFF2-40B4-BE49-F238E27FC236}">
              <a16:creationId xmlns:a16="http://schemas.microsoft.com/office/drawing/2014/main" id="{66150CE6-D277-42E0-9E2C-EAC929A1CA27}"/>
            </a:ext>
          </a:extLst>
        </xdr:cNvPr>
        <xdr:cNvSpPr>
          <a:spLocks/>
        </xdr:cNvSpPr>
      </xdr:nvSpPr>
      <xdr:spPr bwMode="auto">
        <a:xfrm>
          <a:off x="29432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28575</xdr:rowOff>
    </xdr:from>
    <xdr:to>
      <xdr:col>49</xdr:col>
      <xdr:colOff>0</xdr:colOff>
      <xdr:row>30</xdr:row>
      <xdr:rowOff>85725</xdr:rowOff>
    </xdr:to>
    <xdr:sp macro="" textlink="">
      <xdr:nvSpPr>
        <xdr:cNvPr id="345" name="Arc 11">
          <a:extLst>
            <a:ext uri="{FF2B5EF4-FFF2-40B4-BE49-F238E27FC236}">
              <a16:creationId xmlns:a16="http://schemas.microsoft.com/office/drawing/2014/main" id="{507A7E3F-5E94-4F02-BD21-402A19F883C1}"/>
            </a:ext>
          </a:extLst>
        </xdr:cNvPr>
        <xdr:cNvSpPr>
          <a:spLocks/>
        </xdr:cNvSpPr>
      </xdr:nvSpPr>
      <xdr:spPr bwMode="auto">
        <a:xfrm>
          <a:off x="29432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28575</xdr:rowOff>
    </xdr:from>
    <xdr:to>
      <xdr:col>49</xdr:col>
      <xdr:colOff>0</xdr:colOff>
      <xdr:row>6</xdr:row>
      <xdr:rowOff>85725</xdr:rowOff>
    </xdr:to>
    <xdr:sp macro="" textlink="">
      <xdr:nvSpPr>
        <xdr:cNvPr id="346" name="Line 12">
          <a:extLst>
            <a:ext uri="{FF2B5EF4-FFF2-40B4-BE49-F238E27FC236}">
              <a16:creationId xmlns:a16="http://schemas.microsoft.com/office/drawing/2014/main" id="{6C9E2314-CE42-4D07-B8EA-986F7E6D4A9B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9525</xdr:rowOff>
    </xdr:from>
    <xdr:to>
      <xdr:col>49</xdr:col>
      <xdr:colOff>0</xdr:colOff>
      <xdr:row>6</xdr:row>
      <xdr:rowOff>76200</xdr:rowOff>
    </xdr:to>
    <xdr:sp macro="" textlink="">
      <xdr:nvSpPr>
        <xdr:cNvPr id="347" name="Line 13">
          <a:extLst>
            <a:ext uri="{FF2B5EF4-FFF2-40B4-BE49-F238E27FC236}">
              <a16:creationId xmlns:a16="http://schemas.microsoft.com/office/drawing/2014/main" id="{8456E6D5-8A93-4E87-8E8D-EFC03C99B986}"/>
            </a:ext>
          </a:extLst>
        </xdr:cNvPr>
        <xdr:cNvSpPr>
          <a:spLocks noChangeShapeType="1"/>
        </xdr:cNvSpPr>
      </xdr:nvSpPr>
      <xdr:spPr bwMode="auto">
        <a:xfrm flipV="1">
          <a:off x="294322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57150</xdr:rowOff>
    </xdr:from>
    <xdr:to>
      <xdr:col>49</xdr:col>
      <xdr:colOff>0</xdr:colOff>
      <xdr:row>6</xdr:row>
      <xdr:rowOff>57150</xdr:rowOff>
    </xdr:to>
    <xdr:sp macro="" textlink="">
      <xdr:nvSpPr>
        <xdr:cNvPr id="348" name="Line 14">
          <a:extLst>
            <a:ext uri="{FF2B5EF4-FFF2-40B4-BE49-F238E27FC236}">
              <a16:creationId xmlns:a16="http://schemas.microsoft.com/office/drawing/2014/main" id="{9DCB5F32-F99D-4A1A-BCAD-468434B337A3}"/>
            </a:ext>
          </a:extLst>
        </xdr:cNvPr>
        <xdr:cNvSpPr>
          <a:spLocks noChangeShapeType="1"/>
        </xdr:cNvSpPr>
      </xdr:nvSpPr>
      <xdr:spPr bwMode="auto">
        <a:xfrm flipH="1">
          <a:off x="294322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152400</xdr:rowOff>
    </xdr:from>
    <xdr:to>
      <xdr:col>49</xdr:col>
      <xdr:colOff>0</xdr:colOff>
      <xdr:row>30</xdr:row>
      <xdr:rowOff>66675</xdr:rowOff>
    </xdr:to>
    <xdr:sp macro="" textlink="">
      <xdr:nvSpPr>
        <xdr:cNvPr id="349" name="Line 15">
          <a:extLst>
            <a:ext uri="{FF2B5EF4-FFF2-40B4-BE49-F238E27FC236}">
              <a16:creationId xmlns:a16="http://schemas.microsoft.com/office/drawing/2014/main" id="{4472E383-3BD4-40CA-865C-1AB154F330BD}"/>
            </a:ext>
          </a:extLst>
        </xdr:cNvPr>
        <xdr:cNvSpPr>
          <a:spLocks noChangeShapeType="1"/>
        </xdr:cNvSpPr>
      </xdr:nvSpPr>
      <xdr:spPr bwMode="auto">
        <a:xfrm flipV="1">
          <a:off x="29432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0</xdr:colOff>
      <xdr:row>31</xdr:row>
      <xdr:rowOff>28575</xdr:rowOff>
    </xdr:to>
    <xdr:sp macro="" textlink="">
      <xdr:nvSpPr>
        <xdr:cNvPr id="350" name="Arc 17">
          <a:extLst>
            <a:ext uri="{FF2B5EF4-FFF2-40B4-BE49-F238E27FC236}">
              <a16:creationId xmlns:a16="http://schemas.microsoft.com/office/drawing/2014/main" id="{61C80FCB-735B-4B95-8DC1-AD1E3C19F68E}"/>
            </a:ext>
          </a:extLst>
        </xdr:cNvPr>
        <xdr:cNvSpPr>
          <a:spLocks/>
        </xdr:cNvSpPr>
      </xdr:nvSpPr>
      <xdr:spPr bwMode="auto">
        <a:xfrm flipH="1">
          <a:off x="29432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0</xdr:colOff>
      <xdr:row>31</xdr:row>
      <xdr:rowOff>47625</xdr:rowOff>
    </xdr:to>
    <xdr:sp macro="" textlink="">
      <xdr:nvSpPr>
        <xdr:cNvPr id="351" name="Arc 18">
          <a:extLst>
            <a:ext uri="{FF2B5EF4-FFF2-40B4-BE49-F238E27FC236}">
              <a16:creationId xmlns:a16="http://schemas.microsoft.com/office/drawing/2014/main" id="{920A6BF8-5439-4FDC-9C0B-AE0BFC2F264A}"/>
            </a:ext>
          </a:extLst>
        </xdr:cNvPr>
        <xdr:cNvSpPr>
          <a:spLocks/>
        </xdr:cNvSpPr>
      </xdr:nvSpPr>
      <xdr:spPr bwMode="auto">
        <a:xfrm>
          <a:off x="29432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30</xdr:row>
      <xdr:rowOff>28575</xdr:rowOff>
    </xdr:from>
    <xdr:to>
      <xdr:col>49</xdr:col>
      <xdr:colOff>0</xdr:colOff>
      <xdr:row>31</xdr:row>
      <xdr:rowOff>85725</xdr:rowOff>
    </xdr:to>
    <xdr:sp macro="" textlink="">
      <xdr:nvSpPr>
        <xdr:cNvPr id="352" name="Arc 19">
          <a:extLst>
            <a:ext uri="{FF2B5EF4-FFF2-40B4-BE49-F238E27FC236}">
              <a16:creationId xmlns:a16="http://schemas.microsoft.com/office/drawing/2014/main" id="{B2B4C71D-73E6-4E06-9A8D-470F10C2E1E1}"/>
            </a:ext>
          </a:extLst>
        </xdr:cNvPr>
        <xdr:cNvSpPr>
          <a:spLocks/>
        </xdr:cNvSpPr>
      </xdr:nvSpPr>
      <xdr:spPr bwMode="auto">
        <a:xfrm>
          <a:off x="29432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31</xdr:row>
      <xdr:rowOff>28575</xdr:rowOff>
    </xdr:from>
    <xdr:to>
      <xdr:col>49</xdr:col>
      <xdr:colOff>0</xdr:colOff>
      <xdr:row>31</xdr:row>
      <xdr:rowOff>85725</xdr:rowOff>
    </xdr:to>
    <xdr:sp macro="" textlink="">
      <xdr:nvSpPr>
        <xdr:cNvPr id="353" name="Line 20">
          <a:extLst>
            <a:ext uri="{FF2B5EF4-FFF2-40B4-BE49-F238E27FC236}">
              <a16:creationId xmlns:a16="http://schemas.microsoft.com/office/drawing/2014/main" id="{45317ABE-BFF1-4F42-BB2C-A97220816A0F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31</xdr:row>
      <xdr:rowOff>9525</xdr:rowOff>
    </xdr:from>
    <xdr:to>
      <xdr:col>49</xdr:col>
      <xdr:colOff>0</xdr:colOff>
      <xdr:row>31</xdr:row>
      <xdr:rowOff>76200</xdr:rowOff>
    </xdr:to>
    <xdr:sp macro="" textlink="">
      <xdr:nvSpPr>
        <xdr:cNvPr id="354" name="Line 21">
          <a:extLst>
            <a:ext uri="{FF2B5EF4-FFF2-40B4-BE49-F238E27FC236}">
              <a16:creationId xmlns:a16="http://schemas.microsoft.com/office/drawing/2014/main" id="{CB99D716-0069-4EC7-B4E5-F4947772D6AA}"/>
            </a:ext>
          </a:extLst>
        </xdr:cNvPr>
        <xdr:cNvSpPr>
          <a:spLocks noChangeShapeType="1"/>
        </xdr:cNvSpPr>
      </xdr:nvSpPr>
      <xdr:spPr bwMode="auto">
        <a:xfrm flipV="1">
          <a:off x="294322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31</xdr:row>
      <xdr:rowOff>57150</xdr:rowOff>
    </xdr:from>
    <xdr:to>
      <xdr:col>49</xdr:col>
      <xdr:colOff>0</xdr:colOff>
      <xdr:row>31</xdr:row>
      <xdr:rowOff>57150</xdr:rowOff>
    </xdr:to>
    <xdr:sp macro="" textlink="">
      <xdr:nvSpPr>
        <xdr:cNvPr id="355" name="Line 22">
          <a:extLst>
            <a:ext uri="{FF2B5EF4-FFF2-40B4-BE49-F238E27FC236}">
              <a16:creationId xmlns:a16="http://schemas.microsoft.com/office/drawing/2014/main" id="{AFA07C06-B9DB-450B-BA6D-6DF1A8C7EDB7}"/>
            </a:ext>
          </a:extLst>
        </xdr:cNvPr>
        <xdr:cNvSpPr>
          <a:spLocks noChangeShapeType="1"/>
        </xdr:cNvSpPr>
      </xdr:nvSpPr>
      <xdr:spPr bwMode="auto">
        <a:xfrm flipH="1">
          <a:off x="294322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30</xdr:row>
      <xdr:rowOff>152400</xdr:rowOff>
    </xdr:from>
    <xdr:to>
      <xdr:col>49</xdr:col>
      <xdr:colOff>0</xdr:colOff>
      <xdr:row>31</xdr:row>
      <xdr:rowOff>66675</xdr:rowOff>
    </xdr:to>
    <xdr:sp macro="" textlink="">
      <xdr:nvSpPr>
        <xdr:cNvPr id="356" name="Line 23">
          <a:extLst>
            <a:ext uri="{FF2B5EF4-FFF2-40B4-BE49-F238E27FC236}">
              <a16:creationId xmlns:a16="http://schemas.microsoft.com/office/drawing/2014/main" id="{70F0C02C-EEAC-4224-9DE9-B6A25D2B5819}"/>
            </a:ext>
          </a:extLst>
        </xdr:cNvPr>
        <xdr:cNvSpPr>
          <a:spLocks noChangeShapeType="1"/>
        </xdr:cNvSpPr>
      </xdr:nvSpPr>
      <xdr:spPr bwMode="auto">
        <a:xfrm flipV="1">
          <a:off x="29432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0</xdr:rowOff>
    </xdr:from>
    <xdr:to>
      <xdr:col>50</xdr:col>
      <xdr:colOff>0</xdr:colOff>
      <xdr:row>30</xdr:row>
      <xdr:rowOff>28575</xdr:rowOff>
    </xdr:to>
    <xdr:sp macro="" textlink="">
      <xdr:nvSpPr>
        <xdr:cNvPr id="357" name="Arc 9">
          <a:extLst>
            <a:ext uri="{FF2B5EF4-FFF2-40B4-BE49-F238E27FC236}">
              <a16:creationId xmlns:a16="http://schemas.microsoft.com/office/drawing/2014/main" id="{86AEF3AF-7D21-4E71-A633-65950866A720}"/>
            </a:ext>
          </a:extLst>
        </xdr:cNvPr>
        <xdr:cNvSpPr>
          <a:spLocks/>
        </xdr:cNvSpPr>
      </xdr:nvSpPr>
      <xdr:spPr bwMode="auto">
        <a:xfrm flipH="1">
          <a:off x="16192500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0</xdr:rowOff>
    </xdr:from>
    <xdr:to>
      <xdr:col>50</xdr:col>
      <xdr:colOff>0</xdr:colOff>
      <xdr:row>30</xdr:row>
      <xdr:rowOff>47625</xdr:rowOff>
    </xdr:to>
    <xdr:sp macro="" textlink="">
      <xdr:nvSpPr>
        <xdr:cNvPr id="358" name="Arc 10">
          <a:extLst>
            <a:ext uri="{FF2B5EF4-FFF2-40B4-BE49-F238E27FC236}">
              <a16:creationId xmlns:a16="http://schemas.microsoft.com/office/drawing/2014/main" id="{0CB5D28C-2928-4C43-84C5-B74CE9B1F8ED}"/>
            </a:ext>
          </a:extLst>
        </xdr:cNvPr>
        <xdr:cNvSpPr>
          <a:spLocks/>
        </xdr:cNvSpPr>
      </xdr:nvSpPr>
      <xdr:spPr bwMode="auto">
        <a:xfrm>
          <a:off x="16192500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28575</xdr:rowOff>
    </xdr:from>
    <xdr:to>
      <xdr:col>50</xdr:col>
      <xdr:colOff>0</xdr:colOff>
      <xdr:row>30</xdr:row>
      <xdr:rowOff>85725</xdr:rowOff>
    </xdr:to>
    <xdr:sp macro="" textlink="">
      <xdr:nvSpPr>
        <xdr:cNvPr id="359" name="Arc 11">
          <a:extLst>
            <a:ext uri="{FF2B5EF4-FFF2-40B4-BE49-F238E27FC236}">
              <a16:creationId xmlns:a16="http://schemas.microsoft.com/office/drawing/2014/main" id="{0B973ABE-C898-4072-99DB-BFD367D38144}"/>
            </a:ext>
          </a:extLst>
        </xdr:cNvPr>
        <xdr:cNvSpPr>
          <a:spLocks/>
        </xdr:cNvSpPr>
      </xdr:nvSpPr>
      <xdr:spPr bwMode="auto">
        <a:xfrm>
          <a:off x="16192500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25</xdr:row>
      <xdr:rowOff>28575</xdr:rowOff>
    </xdr:from>
    <xdr:to>
      <xdr:col>50</xdr:col>
      <xdr:colOff>0</xdr:colOff>
      <xdr:row>25</xdr:row>
      <xdr:rowOff>85725</xdr:rowOff>
    </xdr:to>
    <xdr:sp macro="" textlink="">
      <xdr:nvSpPr>
        <xdr:cNvPr id="360" name="Line 12">
          <a:extLst>
            <a:ext uri="{FF2B5EF4-FFF2-40B4-BE49-F238E27FC236}">
              <a16:creationId xmlns:a16="http://schemas.microsoft.com/office/drawing/2014/main" id="{C2F61B62-C92D-4A58-A8BD-60EE35D9A2DC}"/>
            </a:ext>
          </a:extLst>
        </xdr:cNvPr>
        <xdr:cNvSpPr>
          <a:spLocks noChangeShapeType="1"/>
        </xdr:cNvSpPr>
      </xdr:nvSpPr>
      <xdr:spPr bwMode="auto">
        <a:xfrm flipH="1" flipV="1">
          <a:off x="16192500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25</xdr:row>
      <xdr:rowOff>9525</xdr:rowOff>
    </xdr:from>
    <xdr:to>
      <xdr:col>50</xdr:col>
      <xdr:colOff>0</xdr:colOff>
      <xdr:row>25</xdr:row>
      <xdr:rowOff>76200</xdr:rowOff>
    </xdr:to>
    <xdr:sp macro="" textlink="">
      <xdr:nvSpPr>
        <xdr:cNvPr id="361" name="Line 13">
          <a:extLst>
            <a:ext uri="{FF2B5EF4-FFF2-40B4-BE49-F238E27FC236}">
              <a16:creationId xmlns:a16="http://schemas.microsoft.com/office/drawing/2014/main" id="{AC1451EF-F883-4340-9F15-6B83D32CBAA9}"/>
            </a:ext>
          </a:extLst>
        </xdr:cNvPr>
        <xdr:cNvSpPr>
          <a:spLocks noChangeShapeType="1"/>
        </xdr:cNvSpPr>
      </xdr:nvSpPr>
      <xdr:spPr bwMode="auto">
        <a:xfrm flipV="1">
          <a:off x="16192500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25</xdr:row>
      <xdr:rowOff>57150</xdr:rowOff>
    </xdr:from>
    <xdr:to>
      <xdr:col>50</xdr:col>
      <xdr:colOff>0</xdr:colOff>
      <xdr:row>25</xdr:row>
      <xdr:rowOff>57150</xdr:rowOff>
    </xdr:to>
    <xdr:sp macro="" textlink="">
      <xdr:nvSpPr>
        <xdr:cNvPr id="362" name="Line 14">
          <a:extLst>
            <a:ext uri="{FF2B5EF4-FFF2-40B4-BE49-F238E27FC236}">
              <a16:creationId xmlns:a16="http://schemas.microsoft.com/office/drawing/2014/main" id="{D67744D4-32EB-426F-9F56-916809EDACBE}"/>
            </a:ext>
          </a:extLst>
        </xdr:cNvPr>
        <xdr:cNvSpPr>
          <a:spLocks noChangeShapeType="1"/>
        </xdr:cNvSpPr>
      </xdr:nvSpPr>
      <xdr:spPr bwMode="auto">
        <a:xfrm flipH="1">
          <a:off x="16192500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152400</xdr:rowOff>
    </xdr:from>
    <xdr:to>
      <xdr:col>50</xdr:col>
      <xdr:colOff>0</xdr:colOff>
      <xdr:row>30</xdr:row>
      <xdr:rowOff>66675</xdr:rowOff>
    </xdr:to>
    <xdr:sp macro="" textlink="">
      <xdr:nvSpPr>
        <xdr:cNvPr id="363" name="Line 15">
          <a:extLst>
            <a:ext uri="{FF2B5EF4-FFF2-40B4-BE49-F238E27FC236}">
              <a16:creationId xmlns:a16="http://schemas.microsoft.com/office/drawing/2014/main" id="{79C09A05-E812-46A4-8E06-C75DB7420273}"/>
            </a:ext>
          </a:extLst>
        </xdr:cNvPr>
        <xdr:cNvSpPr>
          <a:spLocks noChangeShapeType="1"/>
        </xdr:cNvSpPr>
      </xdr:nvSpPr>
      <xdr:spPr bwMode="auto">
        <a:xfrm flipV="1">
          <a:off x="16192500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0</xdr:rowOff>
    </xdr:from>
    <xdr:to>
      <xdr:col>50</xdr:col>
      <xdr:colOff>0</xdr:colOff>
      <xdr:row>31</xdr:row>
      <xdr:rowOff>28575</xdr:rowOff>
    </xdr:to>
    <xdr:sp macro="" textlink="">
      <xdr:nvSpPr>
        <xdr:cNvPr id="364" name="Arc 17">
          <a:extLst>
            <a:ext uri="{FF2B5EF4-FFF2-40B4-BE49-F238E27FC236}">
              <a16:creationId xmlns:a16="http://schemas.microsoft.com/office/drawing/2014/main" id="{16C7C69E-ACD4-41A3-86E7-AC9984D3E88D}"/>
            </a:ext>
          </a:extLst>
        </xdr:cNvPr>
        <xdr:cNvSpPr>
          <a:spLocks/>
        </xdr:cNvSpPr>
      </xdr:nvSpPr>
      <xdr:spPr bwMode="auto">
        <a:xfrm flipH="1">
          <a:off x="16192500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0</xdr:rowOff>
    </xdr:from>
    <xdr:to>
      <xdr:col>50</xdr:col>
      <xdr:colOff>0</xdr:colOff>
      <xdr:row>31</xdr:row>
      <xdr:rowOff>47625</xdr:rowOff>
    </xdr:to>
    <xdr:sp macro="" textlink="">
      <xdr:nvSpPr>
        <xdr:cNvPr id="365" name="Arc 18">
          <a:extLst>
            <a:ext uri="{FF2B5EF4-FFF2-40B4-BE49-F238E27FC236}">
              <a16:creationId xmlns:a16="http://schemas.microsoft.com/office/drawing/2014/main" id="{37393D42-D183-4C29-8690-66E276AA80EF}"/>
            </a:ext>
          </a:extLst>
        </xdr:cNvPr>
        <xdr:cNvSpPr>
          <a:spLocks/>
        </xdr:cNvSpPr>
      </xdr:nvSpPr>
      <xdr:spPr bwMode="auto">
        <a:xfrm>
          <a:off x="16192500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28575</xdr:rowOff>
    </xdr:from>
    <xdr:to>
      <xdr:col>50</xdr:col>
      <xdr:colOff>0</xdr:colOff>
      <xdr:row>31</xdr:row>
      <xdr:rowOff>85725</xdr:rowOff>
    </xdr:to>
    <xdr:sp macro="" textlink="">
      <xdr:nvSpPr>
        <xdr:cNvPr id="366" name="Arc 19">
          <a:extLst>
            <a:ext uri="{FF2B5EF4-FFF2-40B4-BE49-F238E27FC236}">
              <a16:creationId xmlns:a16="http://schemas.microsoft.com/office/drawing/2014/main" id="{2D1CEFC5-3E01-4BA8-BDBE-EC61EF83DE0A}"/>
            </a:ext>
          </a:extLst>
        </xdr:cNvPr>
        <xdr:cNvSpPr>
          <a:spLocks/>
        </xdr:cNvSpPr>
      </xdr:nvSpPr>
      <xdr:spPr bwMode="auto">
        <a:xfrm>
          <a:off x="16192500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92</xdr:row>
      <xdr:rowOff>28575</xdr:rowOff>
    </xdr:from>
    <xdr:to>
      <xdr:col>50</xdr:col>
      <xdr:colOff>0</xdr:colOff>
      <xdr:row>92</xdr:row>
      <xdr:rowOff>85725</xdr:rowOff>
    </xdr:to>
    <xdr:sp macro="" textlink="">
      <xdr:nvSpPr>
        <xdr:cNvPr id="367" name="Line 20">
          <a:extLst>
            <a:ext uri="{FF2B5EF4-FFF2-40B4-BE49-F238E27FC236}">
              <a16:creationId xmlns:a16="http://schemas.microsoft.com/office/drawing/2014/main" id="{A6D15EF0-0B8C-474F-88AA-340EEC61065A}"/>
            </a:ext>
          </a:extLst>
        </xdr:cNvPr>
        <xdr:cNvSpPr>
          <a:spLocks noChangeShapeType="1"/>
        </xdr:cNvSpPr>
      </xdr:nvSpPr>
      <xdr:spPr bwMode="auto">
        <a:xfrm flipH="1" flipV="1">
          <a:off x="16192500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92</xdr:row>
      <xdr:rowOff>9525</xdr:rowOff>
    </xdr:from>
    <xdr:to>
      <xdr:col>50</xdr:col>
      <xdr:colOff>0</xdr:colOff>
      <xdr:row>92</xdr:row>
      <xdr:rowOff>76200</xdr:rowOff>
    </xdr:to>
    <xdr:sp macro="" textlink="">
      <xdr:nvSpPr>
        <xdr:cNvPr id="368" name="Line 21">
          <a:extLst>
            <a:ext uri="{FF2B5EF4-FFF2-40B4-BE49-F238E27FC236}">
              <a16:creationId xmlns:a16="http://schemas.microsoft.com/office/drawing/2014/main" id="{F74B4013-209B-45C2-89E2-9901637D9C2F}"/>
            </a:ext>
          </a:extLst>
        </xdr:cNvPr>
        <xdr:cNvSpPr>
          <a:spLocks noChangeShapeType="1"/>
        </xdr:cNvSpPr>
      </xdr:nvSpPr>
      <xdr:spPr bwMode="auto">
        <a:xfrm flipV="1">
          <a:off x="16192500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92</xdr:row>
      <xdr:rowOff>57150</xdr:rowOff>
    </xdr:from>
    <xdr:to>
      <xdr:col>50</xdr:col>
      <xdr:colOff>0</xdr:colOff>
      <xdr:row>92</xdr:row>
      <xdr:rowOff>57150</xdr:rowOff>
    </xdr:to>
    <xdr:sp macro="" textlink="">
      <xdr:nvSpPr>
        <xdr:cNvPr id="369" name="Line 22">
          <a:extLst>
            <a:ext uri="{FF2B5EF4-FFF2-40B4-BE49-F238E27FC236}">
              <a16:creationId xmlns:a16="http://schemas.microsoft.com/office/drawing/2014/main" id="{5A7501F6-5C3A-42B5-AF98-32F5E3FA4EC7}"/>
            </a:ext>
          </a:extLst>
        </xdr:cNvPr>
        <xdr:cNvSpPr>
          <a:spLocks noChangeShapeType="1"/>
        </xdr:cNvSpPr>
      </xdr:nvSpPr>
      <xdr:spPr bwMode="auto">
        <a:xfrm flipH="1">
          <a:off x="16192500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152400</xdr:rowOff>
    </xdr:from>
    <xdr:to>
      <xdr:col>50</xdr:col>
      <xdr:colOff>0</xdr:colOff>
      <xdr:row>31</xdr:row>
      <xdr:rowOff>66675</xdr:rowOff>
    </xdr:to>
    <xdr:sp macro="" textlink="">
      <xdr:nvSpPr>
        <xdr:cNvPr id="370" name="Line 23">
          <a:extLst>
            <a:ext uri="{FF2B5EF4-FFF2-40B4-BE49-F238E27FC236}">
              <a16:creationId xmlns:a16="http://schemas.microsoft.com/office/drawing/2014/main" id="{1D58AE80-CD36-4C70-B27C-3AAD4B721BFE}"/>
            </a:ext>
          </a:extLst>
        </xdr:cNvPr>
        <xdr:cNvSpPr>
          <a:spLocks noChangeShapeType="1"/>
        </xdr:cNvSpPr>
      </xdr:nvSpPr>
      <xdr:spPr bwMode="auto">
        <a:xfrm flipV="1">
          <a:off x="16192500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29</xdr:row>
      <xdr:rowOff>0</xdr:rowOff>
    </xdr:from>
    <xdr:to>
      <xdr:col>51</xdr:col>
      <xdr:colOff>0</xdr:colOff>
      <xdr:row>30</xdr:row>
      <xdr:rowOff>28575</xdr:rowOff>
    </xdr:to>
    <xdr:sp macro="" textlink="">
      <xdr:nvSpPr>
        <xdr:cNvPr id="371" name="Arc 9">
          <a:extLst>
            <a:ext uri="{FF2B5EF4-FFF2-40B4-BE49-F238E27FC236}">
              <a16:creationId xmlns:a16="http://schemas.microsoft.com/office/drawing/2014/main" id="{4C9BB6BA-B38E-474C-A9AA-01309A779535}"/>
            </a:ext>
          </a:extLst>
        </xdr:cNvPr>
        <xdr:cNvSpPr>
          <a:spLocks/>
        </xdr:cNvSpPr>
      </xdr:nvSpPr>
      <xdr:spPr bwMode="auto">
        <a:xfrm flipH="1">
          <a:off x="16630650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29</xdr:row>
      <xdr:rowOff>0</xdr:rowOff>
    </xdr:from>
    <xdr:to>
      <xdr:col>51</xdr:col>
      <xdr:colOff>0</xdr:colOff>
      <xdr:row>30</xdr:row>
      <xdr:rowOff>47625</xdr:rowOff>
    </xdr:to>
    <xdr:sp macro="" textlink="">
      <xdr:nvSpPr>
        <xdr:cNvPr id="372" name="Arc 10">
          <a:extLst>
            <a:ext uri="{FF2B5EF4-FFF2-40B4-BE49-F238E27FC236}">
              <a16:creationId xmlns:a16="http://schemas.microsoft.com/office/drawing/2014/main" id="{5A8DCA1D-7BFB-4508-9F74-2C1DE88E3FC0}"/>
            </a:ext>
          </a:extLst>
        </xdr:cNvPr>
        <xdr:cNvSpPr>
          <a:spLocks/>
        </xdr:cNvSpPr>
      </xdr:nvSpPr>
      <xdr:spPr bwMode="auto">
        <a:xfrm>
          <a:off x="16630650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29</xdr:row>
      <xdr:rowOff>28575</xdr:rowOff>
    </xdr:from>
    <xdr:to>
      <xdr:col>51</xdr:col>
      <xdr:colOff>0</xdr:colOff>
      <xdr:row>30</xdr:row>
      <xdr:rowOff>85725</xdr:rowOff>
    </xdr:to>
    <xdr:sp macro="" textlink="">
      <xdr:nvSpPr>
        <xdr:cNvPr id="373" name="Arc 11">
          <a:extLst>
            <a:ext uri="{FF2B5EF4-FFF2-40B4-BE49-F238E27FC236}">
              <a16:creationId xmlns:a16="http://schemas.microsoft.com/office/drawing/2014/main" id="{79096CC6-C01F-470E-8FA5-B9D1E4162F6C}"/>
            </a:ext>
          </a:extLst>
        </xdr:cNvPr>
        <xdr:cNvSpPr>
          <a:spLocks/>
        </xdr:cNvSpPr>
      </xdr:nvSpPr>
      <xdr:spPr bwMode="auto">
        <a:xfrm>
          <a:off x="16630650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41</xdr:row>
      <xdr:rowOff>28575</xdr:rowOff>
    </xdr:from>
    <xdr:to>
      <xdr:col>51</xdr:col>
      <xdr:colOff>0</xdr:colOff>
      <xdr:row>41</xdr:row>
      <xdr:rowOff>85725</xdr:rowOff>
    </xdr:to>
    <xdr:sp macro="" textlink="">
      <xdr:nvSpPr>
        <xdr:cNvPr id="374" name="Line 12">
          <a:extLst>
            <a:ext uri="{FF2B5EF4-FFF2-40B4-BE49-F238E27FC236}">
              <a16:creationId xmlns:a16="http://schemas.microsoft.com/office/drawing/2014/main" id="{25290123-BED2-4AAD-8DC0-64571CA952FC}"/>
            </a:ext>
          </a:extLst>
        </xdr:cNvPr>
        <xdr:cNvSpPr>
          <a:spLocks noChangeShapeType="1"/>
        </xdr:cNvSpPr>
      </xdr:nvSpPr>
      <xdr:spPr bwMode="auto">
        <a:xfrm flipH="1" flipV="1">
          <a:off x="16630650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41</xdr:row>
      <xdr:rowOff>9525</xdr:rowOff>
    </xdr:from>
    <xdr:to>
      <xdr:col>51</xdr:col>
      <xdr:colOff>0</xdr:colOff>
      <xdr:row>41</xdr:row>
      <xdr:rowOff>76200</xdr:rowOff>
    </xdr:to>
    <xdr:sp macro="" textlink="">
      <xdr:nvSpPr>
        <xdr:cNvPr id="375" name="Line 13">
          <a:extLst>
            <a:ext uri="{FF2B5EF4-FFF2-40B4-BE49-F238E27FC236}">
              <a16:creationId xmlns:a16="http://schemas.microsoft.com/office/drawing/2014/main" id="{7F016842-0005-4C74-9D99-10812A5B14E4}"/>
            </a:ext>
          </a:extLst>
        </xdr:cNvPr>
        <xdr:cNvSpPr>
          <a:spLocks noChangeShapeType="1"/>
        </xdr:cNvSpPr>
      </xdr:nvSpPr>
      <xdr:spPr bwMode="auto">
        <a:xfrm flipV="1">
          <a:off x="16630650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41</xdr:row>
      <xdr:rowOff>57150</xdr:rowOff>
    </xdr:from>
    <xdr:to>
      <xdr:col>51</xdr:col>
      <xdr:colOff>0</xdr:colOff>
      <xdr:row>41</xdr:row>
      <xdr:rowOff>57150</xdr:rowOff>
    </xdr:to>
    <xdr:sp macro="" textlink="">
      <xdr:nvSpPr>
        <xdr:cNvPr id="376" name="Line 14">
          <a:extLst>
            <a:ext uri="{FF2B5EF4-FFF2-40B4-BE49-F238E27FC236}">
              <a16:creationId xmlns:a16="http://schemas.microsoft.com/office/drawing/2014/main" id="{B08E70A4-F871-4098-A7AE-1E9852CDD891}"/>
            </a:ext>
          </a:extLst>
        </xdr:cNvPr>
        <xdr:cNvSpPr>
          <a:spLocks noChangeShapeType="1"/>
        </xdr:cNvSpPr>
      </xdr:nvSpPr>
      <xdr:spPr bwMode="auto">
        <a:xfrm flipH="1">
          <a:off x="16630650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29</xdr:row>
      <xdr:rowOff>152400</xdr:rowOff>
    </xdr:from>
    <xdr:to>
      <xdr:col>51</xdr:col>
      <xdr:colOff>0</xdr:colOff>
      <xdr:row>30</xdr:row>
      <xdr:rowOff>66675</xdr:rowOff>
    </xdr:to>
    <xdr:sp macro="" textlink="">
      <xdr:nvSpPr>
        <xdr:cNvPr id="377" name="Line 15">
          <a:extLst>
            <a:ext uri="{FF2B5EF4-FFF2-40B4-BE49-F238E27FC236}">
              <a16:creationId xmlns:a16="http://schemas.microsoft.com/office/drawing/2014/main" id="{51520C65-700E-400E-95F1-D8420EC49170}"/>
            </a:ext>
          </a:extLst>
        </xdr:cNvPr>
        <xdr:cNvSpPr>
          <a:spLocks noChangeShapeType="1"/>
        </xdr:cNvSpPr>
      </xdr:nvSpPr>
      <xdr:spPr bwMode="auto">
        <a:xfrm flipV="1">
          <a:off x="16630650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0</xdr:rowOff>
    </xdr:from>
    <xdr:to>
      <xdr:col>51</xdr:col>
      <xdr:colOff>0</xdr:colOff>
      <xdr:row>31</xdr:row>
      <xdr:rowOff>28575</xdr:rowOff>
    </xdr:to>
    <xdr:sp macro="" textlink="">
      <xdr:nvSpPr>
        <xdr:cNvPr id="378" name="Arc 17">
          <a:extLst>
            <a:ext uri="{FF2B5EF4-FFF2-40B4-BE49-F238E27FC236}">
              <a16:creationId xmlns:a16="http://schemas.microsoft.com/office/drawing/2014/main" id="{D9E7FCFC-61F1-4A70-BAE3-AFA484A5780B}"/>
            </a:ext>
          </a:extLst>
        </xdr:cNvPr>
        <xdr:cNvSpPr>
          <a:spLocks/>
        </xdr:cNvSpPr>
      </xdr:nvSpPr>
      <xdr:spPr bwMode="auto">
        <a:xfrm flipH="1">
          <a:off x="16630650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0</xdr:rowOff>
    </xdr:from>
    <xdr:to>
      <xdr:col>51</xdr:col>
      <xdr:colOff>0</xdr:colOff>
      <xdr:row>31</xdr:row>
      <xdr:rowOff>47625</xdr:rowOff>
    </xdr:to>
    <xdr:sp macro="" textlink="">
      <xdr:nvSpPr>
        <xdr:cNvPr id="379" name="Arc 18">
          <a:extLst>
            <a:ext uri="{FF2B5EF4-FFF2-40B4-BE49-F238E27FC236}">
              <a16:creationId xmlns:a16="http://schemas.microsoft.com/office/drawing/2014/main" id="{42B99734-2E43-4173-B96E-3DAD8EC8F2BC}"/>
            </a:ext>
          </a:extLst>
        </xdr:cNvPr>
        <xdr:cNvSpPr>
          <a:spLocks/>
        </xdr:cNvSpPr>
      </xdr:nvSpPr>
      <xdr:spPr bwMode="auto">
        <a:xfrm>
          <a:off x="16630650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28575</xdr:rowOff>
    </xdr:from>
    <xdr:to>
      <xdr:col>51</xdr:col>
      <xdr:colOff>0</xdr:colOff>
      <xdr:row>31</xdr:row>
      <xdr:rowOff>85725</xdr:rowOff>
    </xdr:to>
    <xdr:sp macro="" textlink="">
      <xdr:nvSpPr>
        <xdr:cNvPr id="380" name="Arc 19">
          <a:extLst>
            <a:ext uri="{FF2B5EF4-FFF2-40B4-BE49-F238E27FC236}">
              <a16:creationId xmlns:a16="http://schemas.microsoft.com/office/drawing/2014/main" id="{EB53E5DC-389F-4205-87F1-A6BCAD29983A}"/>
            </a:ext>
          </a:extLst>
        </xdr:cNvPr>
        <xdr:cNvSpPr>
          <a:spLocks/>
        </xdr:cNvSpPr>
      </xdr:nvSpPr>
      <xdr:spPr bwMode="auto">
        <a:xfrm>
          <a:off x="16630650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37</xdr:row>
      <xdr:rowOff>28575</xdr:rowOff>
    </xdr:from>
    <xdr:to>
      <xdr:col>51</xdr:col>
      <xdr:colOff>0</xdr:colOff>
      <xdr:row>37</xdr:row>
      <xdr:rowOff>85725</xdr:rowOff>
    </xdr:to>
    <xdr:sp macro="" textlink="">
      <xdr:nvSpPr>
        <xdr:cNvPr id="381" name="Line 20">
          <a:extLst>
            <a:ext uri="{FF2B5EF4-FFF2-40B4-BE49-F238E27FC236}">
              <a16:creationId xmlns:a16="http://schemas.microsoft.com/office/drawing/2014/main" id="{AA917DD6-D9A8-4910-9992-D8B0C538D6FB}"/>
            </a:ext>
          </a:extLst>
        </xdr:cNvPr>
        <xdr:cNvSpPr>
          <a:spLocks noChangeShapeType="1"/>
        </xdr:cNvSpPr>
      </xdr:nvSpPr>
      <xdr:spPr bwMode="auto">
        <a:xfrm flipH="1" flipV="1">
          <a:off x="16630650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37</xdr:row>
      <xdr:rowOff>9525</xdr:rowOff>
    </xdr:from>
    <xdr:to>
      <xdr:col>51</xdr:col>
      <xdr:colOff>0</xdr:colOff>
      <xdr:row>37</xdr:row>
      <xdr:rowOff>76200</xdr:rowOff>
    </xdr:to>
    <xdr:sp macro="" textlink="">
      <xdr:nvSpPr>
        <xdr:cNvPr id="382" name="Line 21">
          <a:extLst>
            <a:ext uri="{FF2B5EF4-FFF2-40B4-BE49-F238E27FC236}">
              <a16:creationId xmlns:a16="http://schemas.microsoft.com/office/drawing/2014/main" id="{6673601B-B538-40CC-8513-EA8F6D1006EC}"/>
            </a:ext>
          </a:extLst>
        </xdr:cNvPr>
        <xdr:cNvSpPr>
          <a:spLocks noChangeShapeType="1"/>
        </xdr:cNvSpPr>
      </xdr:nvSpPr>
      <xdr:spPr bwMode="auto">
        <a:xfrm flipV="1">
          <a:off x="16630650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37</xdr:row>
      <xdr:rowOff>57150</xdr:rowOff>
    </xdr:from>
    <xdr:to>
      <xdr:col>51</xdr:col>
      <xdr:colOff>0</xdr:colOff>
      <xdr:row>37</xdr:row>
      <xdr:rowOff>57150</xdr:rowOff>
    </xdr:to>
    <xdr:sp macro="" textlink="">
      <xdr:nvSpPr>
        <xdr:cNvPr id="383" name="Line 22">
          <a:extLst>
            <a:ext uri="{FF2B5EF4-FFF2-40B4-BE49-F238E27FC236}">
              <a16:creationId xmlns:a16="http://schemas.microsoft.com/office/drawing/2014/main" id="{6AC97697-9376-4322-AE0A-6C80B62901CA}"/>
            </a:ext>
          </a:extLst>
        </xdr:cNvPr>
        <xdr:cNvSpPr>
          <a:spLocks noChangeShapeType="1"/>
        </xdr:cNvSpPr>
      </xdr:nvSpPr>
      <xdr:spPr bwMode="auto">
        <a:xfrm flipH="1">
          <a:off x="16630650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152400</xdr:rowOff>
    </xdr:from>
    <xdr:to>
      <xdr:col>51</xdr:col>
      <xdr:colOff>0</xdr:colOff>
      <xdr:row>31</xdr:row>
      <xdr:rowOff>66675</xdr:rowOff>
    </xdr:to>
    <xdr:sp macro="" textlink="">
      <xdr:nvSpPr>
        <xdr:cNvPr id="384" name="Line 23">
          <a:extLst>
            <a:ext uri="{FF2B5EF4-FFF2-40B4-BE49-F238E27FC236}">
              <a16:creationId xmlns:a16="http://schemas.microsoft.com/office/drawing/2014/main" id="{B3FA7A0A-02C9-491C-AC5A-5D4C2660228C}"/>
            </a:ext>
          </a:extLst>
        </xdr:cNvPr>
        <xdr:cNvSpPr>
          <a:spLocks noChangeShapeType="1"/>
        </xdr:cNvSpPr>
      </xdr:nvSpPr>
      <xdr:spPr bwMode="auto">
        <a:xfrm flipV="1">
          <a:off x="16630650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0</xdr:rowOff>
    </xdr:from>
    <xdr:to>
      <xdr:col>52</xdr:col>
      <xdr:colOff>0</xdr:colOff>
      <xdr:row>30</xdr:row>
      <xdr:rowOff>28575</xdr:rowOff>
    </xdr:to>
    <xdr:sp macro="" textlink="">
      <xdr:nvSpPr>
        <xdr:cNvPr id="2" name="Arc 9">
          <a:extLst>
            <a:ext uri="{FF2B5EF4-FFF2-40B4-BE49-F238E27FC236}">
              <a16:creationId xmlns:a16="http://schemas.microsoft.com/office/drawing/2014/main" id="{088443DE-EA15-47B9-97B2-FA1AAF60D899}"/>
            </a:ext>
          </a:extLst>
        </xdr:cNvPr>
        <xdr:cNvSpPr>
          <a:spLocks/>
        </xdr:cNvSpPr>
      </xdr:nvSpPr>
      <xdr:spPr bwMode="auto">
        <a:xfrm flipH="1">
          <a:off x="3025140" y="528066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0</xdr:rowOff>
    </xdr:from>
    <xdr:to>
      <xdr:col>52</xdr:col>
      <xdr:colOff>0</xdr:colOff>
      <xdr:row>30</xdr:row>
      <xdr:rowOff>47625</xdr:rowOff>
    </xdr:to>
    <xdr:sp macro="" textlink="">
      <xdr:nvSpPr>
        <xdr:cNvPr id="3" name="Arc 10">
          <a:extLst>
            <a:ext uri="{FF2B5EF4-FFF2-40B4-BE49-F238E27FC236}">
              <a16:creationId xmlns:a16="http://schemas.microsoft.com/office/drawing/2014/main" id="{27D67B3A-D304-4F73-99EE-516360DAAE39}"/>
            </a:ext>
          </a:extLst>
        </xdr:cNvPr>
        <xdr:cNvSpPr>
          <a:spLocks/>
        </xdr:cNvSpPr>
      </xdr:nvSpPr>
      <xdr:spPr bwMode="auto">
        <a:xfrm>
          <a:off x="3025140" y="528066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28575</xdr:rowOff>
    </xdr:from>
    <xdr:to>
      <xdr:col>52</xdr:col>
      <xdr:colOff>0</xdr:colOff>
      <xdr:row>30</xdr:row>
      <xdr:rowOff>85725</xdr:rowOff>
    </xdr:to>
    <xdr:sp macro="" textlink="">
      <xdr:nvSpPr>
        <xdr:cNvPr id="4" name="Arc 11">
          <a:extLst>
            <a:ext uri="{FF2B5EF4-FFF2-40B4-BE49-F238E27FC236}">
              <a16:creationId xmlns:a16="http://schemas.microsoft.com/office/drawing/2014/main" id="{9A7C22E6-1973-429C-9E85-35B7427F40B2}"/>
            </a:ext>
          </a:extLst>
        </xdr:cNvPr>
        <xdr:cNvSpPr>
          <a:spLocks/>
        </xdr:cNvSpPr>
      </xdr:nvSpPr>
      <xdr:spPr bwMode="auto">
        <a:xfrm>
          <a:off x="3025140" y="530923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64</xdr:row>
      <xdr:rowOff>28575</xdr:rowOff>
    </xdr:from>
    <xdr:to>
      <xdr:col>52</xdr:col>
      <xdr:colOff>0</xdr:colOff>
      <xdr:row>64</xdr:row>
      <xdr:rowOff>85725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A96860BE-E057-49AF-8BFE-079E80ACA17B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65035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64</xdr:row>
      <xdr:rowOff>9525</xdr:rowOff>
    </xdr:from>
    <xdr:to>
      <xdr:col>52</xdr:col>
      <xdr:colOff>0</xdr:colOff>
      <xdr:row>64</xdr:row>
      <xdr:rowOff>76200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B56E6327-C49E-4A14-8A41-36CFF2CBDC4E}"/>
            </a:ext>
          </a:extLst>
        </xdr:cNvPr>
        <xdr:cNvSpPr>
          <a:spLocks noChangeShapeType="1"/>
        </xdr:cNvSpPr>
      </xdr:nvSpPr>
      <xdr:spPr bwMode="auto">
        <a:xfrm flipV="1">
          <a:off x="3025140" y="663130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64</xdr:row>
      <xdr:rowOff>57150</xdr:rowOff>
    </xdr:from>
    <xdr:to>
      <xdr:col>52</xdr:col>
      <xdr:colOff>0</xdr:colOff>
      <xdr:row>64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A401CE3E-04B8-4F79-9CF3-B002EECF43EE}"/>
            </a:ext>
          </a:extLst>
        </xdr:cNvPr>
        <xdr:cNvSpPr>
          <a:spLocks noChangeShapeType="1"/>
        </xdr:cNvSpPr>
      </xdr:nvSpPr>
      <xdr:spPr bwMode="auto">
        <a:xfrm flipH="1">
          <a:off x="3025140" y="66789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152400</xdr:rowOff>
    </xdr:from>
    <xdr:to>
      <xdr:col>52</xdr:col>
      <xdr:colOff>0</xdr:colOff>
      <xdr:row>30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0118B386-07B4-448F-9C29-B42B87C6F522}"/>
            </a:ext>
          </a:extLst>
        </xdr:cNvPr>
        <xdr:cNvSpPr>
          <a:spLocks noChangeShapeType="1"/>
        </xdr:cNvSpPr>
      </xdr:nvSpPr>
      <xdr:spPr bwMode="auto">
        <a:xfrm flipV="1">
          <a:off x="3025140" y="543306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0</xdr:rowOff>
    </xdr:from>
    <xdr:to>
      <xdr:col>52</xdr:col>
      <xdr:colOff>0</xdr:colOff>
      <xdr:row>31</xdr:row>
      <xdr:rowOff>28575</xdr:rowOff>
    </xdr:to>
    <xdr:sp macro="" textlink="">
      <xdr:nvSpPr>
        <xdr:cNvPr id="9" name="Arc 17">
          <a:extLst>
            <a:ext uri="{FF2B5EF4-FFF2-40B4-BE49-F238E27FC236}">
              <a16:creationId xmlns:a16="http://schemas.microsoft.com/office/drawing/2014/main" id="{34BCD7AA-7EB9-44C3-A4C3-D56CE7FB47F6}"/>
            </a:ext>
          </a:extLst>
        </xdr:cNvPr>
        <xdr:cNvSpPr>
          <a:spLocks/>
        </xdr:cNvSpPr>
      </xdr:nvSpPr>
      <xdr:spPr bwMode="auto">
        <a:xfrm flipH="1">
          <a:off x="3025140" y="544830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0</xdr:rowOff>
    </xdr:from>
    <xdr:to>
      <xdr:col>52</xdr:col>
      <xdr:colOff>0</xdr:colOff>
      <xdr:row>31</xdr:row>
      <xdr:rowOff>47625</xdr:rowOff>
    </xdr:to>
    <xdr:sp macro="" textlink="">
      <xdr:nvSpPr>
        <xdr:cNvPr id="10" name="Arc 18">
          <a:extLst>
            <a:ext uri="{FF2B5EF4-FFF2-40B4-BE49-F238E27FC236}">
              <a16:creationId xmlns:a16="http://schemas.microsoft.com/office/drawing/2014/main" id="{77205910-615B-42FF-83E7-0C31E81802CA}"/>
            </a:ext>
          </a:extLst>
        </xdr:cNvPr>
        <xdr:cNvSpPr>
          <a:spLocks/>
        </xdr:cNvSpPr>
      </xdr:nvSpPr>
      <xdr:spPr bwMode="auto">
        <a:xfrm>
          <a:off x="3025140" y="544830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28575</xdr:rowOff>
    </xdr:from>
    <xdr:to>
      <xdr:col>52</xdr:col>
      <xdr:colOff>0</xdr:colOff>
      <xdr:row>31</xdr:row>
      <xdr:rowOff>85725</xdr:rowOff>
    </xdr:to>
    <xdr:sp macro="" textlink="">
      <xdr:nvSpPr>
        <xdr:cNvPr id="11" name="Arc 19">
          <a:extLst>
            <a:ext uri="{FF2B5EF4-FFF2-40B4-BE49-F238E27FC236}">
              <a16:creationId xmlns:a16="http://schemas.microsoft.com/office/drawing/2014/main" id="{C86F11E0-6BF6-46F2-B21B-EDE59C783C2F}"/>
            </a:ext>
          </a:extLst>
        </xdr:cNvPr>
        <xdr:cNvSpPr>
          <a:spLocks/>
        </xdr:cNvSpPr>
      </xdr:nvSpPr>
      <xdr:spPr bwMode="auto">
        <a:xfrm>
          <a:off x="3025140" y="547687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85</xdr:row>
      <xdr:rowOff>28575</xdr:rowOff>
    </xdr:from>
    <xdr:to>
      <xdr:col>52</xdr:col>
      <xdr:colOff>0</xdr:colOff>
      <xdr:row>85</xdr:row>
      <xdr:rowOff>85725</xdr:rowOff>
    </xdr:to>
    <xdr:sp macro="" textlink="">
      <xdr:nvSpPr>
        <xdr:cNvPr id="12" name="Line 20">
          <a:extLst>
            <a:ext uri="{FF2B5EF4-FFF2-40B4-BE49-F238E27FC236}">
              <a16:creationId xmlns:a16="http://schemas.microsoft.com/office/drawing/2014/main" id="{0623893B-E363-4ACC-A8D4-E9D13EB8CF20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81799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85</xdr:row>
      <xdr:rowOff>9525</xdr:rowOff>
    </xdr:from>
    <xdr:to>
      <xdr:col>52</xdr:col>
      <xdr:colOff>0</xdr:colOff>
      <xdr:row>85</xdr:row>
      <xdr:rowOff>76200</xdr:rowOff>
    </xdr:to>
    <xdr:sp macro="" textlink="">
      <xdr:nvSpPr>
        <xdr:cNvPr id="13" name="Line 21">
          <a:extLst>
            <a:ext uri="{FF2B5EF4-FFF2-40B4-BE49-F238E27FC236}">
              <a16:creationId xmlns:a16="http://schemas.microsoft.com/office/drawing/2014/main" id="{FBC7523A-FA7E-43AF-96DA-ABCA00AF062C}"/>
            </a:ext>
          </a:extLst>
        </xdr:cNvPr>
        <xdr:cNvSpPr>
          <a:spLocks noChangeShapeType="1"/>
        </xdr:cNvSpPr>
      </xdr:nvSpPr>
      <xdr:spPr bwMode="auto">
        <a:xfrm flipV="1">
          <a:off x="3025140" y="679894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85</xdr:row>
      <xdr:rowOff>57150</xdr:rowOff>
    </xdr:from>
    <xdr:to>
      <xdr:col>52</xdr:col>
      <xdr:colOff>0</xdr:colOff>
      <xdr:row>85</xdr:row>
      <xdr:rowOff>57150</xdr:rowOff>
    </xdr:to>
    <xdr:sp macro="" textlink="">
      <xdr:nvSpPr>
        <xdr:cNvPr id="14" name="Line 22">
          <a:extLst>
            <a:ext uri="{FF2B5EF4-FFF2-40B4-BE49-F238E27FC236}">
              <a16:creationId xmlns:a16="http://schemas.microsoft.com/office/drawing/2014/main" id="{54E7E4AD-506D-4354-AB8B-14735488017A}"/>
            </a:ext>
          </a:extLst>
        </xdr:cNvPr>
        <xdr:cNvSpPr>
          <a:spLocks noChangeShapeType="1"/>
        </xdr:cNvSpPr>
      </xdr:nvSpPr>
      <xdr:spPr bwMode="auto">
        <a:xfrm flipH="1">
          <a:off x="3025140" y="68465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152400</xdr:rowOff>
    </xdr:from>
    <xdr:to>
      <xdr:col>52</xdr:col>
      <xdr:colOff>0</xdr:colOff>
      <xdr:row>31</xdr:row>
      <xdr:rowOff>66675</xdr:rowOff>
    </xdr:to>
    <xdr:sp macro="" textlink="">
      <xdr:nvSpPr>
        <xdr:cNvPr id="15" name="Line 23">
          <a:extLst>
            <a:ext uri="{FF2B5EF4-FFF2-40B4-BE49-F238E27FC236}">
              <a16:creationId xmlns:a16="http://schemas.microsoft.com/office/drawing/2014/main" id="{4C47ACB7-9DA7-4C7B-B050-4B49F79E7F1C}"/>
            </a:ext>
          </a:extLst>
        </xdr:cNvPr>
        <xdr:cNvSpPr>
          <a:spLocks noChangeShapeType="1"/>
        </xdr:cNvSpPr>
      </xdr:nvSpPr>
      <xdr:spPr bwMode="auto">
        <a:xfrm flipV="1">
          <a:off x="3025140" y="560070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0</xdr:rowOff>
    </xdr:from>
    <xdr:to>
      <xdr:col>53</xdr:col>
      <xdr:colOff>0</xdr:colOff>
      <xdr:row>30</xdr:row>
      <xdr:rowOff>28575</xdr:rowOff>
    </xdr:to>
    <xdr:sp macro="" textlink="">
      <xdr:nvSpPr>
        <xdr:cNvPr id="16" name="Arc 9">
          <a:extLst>
            <a:ext uri="{FF2B5EF4-FFF2-40B4-BE49-F238E27FC236}">
              <a16:creationId xmlns:a16="http://schemas.microsoft.com/office/drawing/2014/main" id="{FAA8DA88-190D-468C-9B49-17A210742737}"/>
            </a:ext>
          </a:extLst>
        </xdr:cNvPr>
        <xdr:cNvSpPr>
          <a:spLocks/>
        </xdr:cNvSpPr>
      </xdr:nvSpPr>
      <xdr:spPr bwMode="auto">
        <a:xfrm flipH="1">
          <a:off x="3025140" y="528066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0</xdr:rowOff>
    </xdr:from>
    <xdr:to>
      <xdr:col>53</xdr:col>
      <xdr:colOff>0</xdr:colOff>
      <xdr:row>30</xdr:row>
      <xdr:rowOff>47625</xdr:rowOff>
    </xdr:to>
    <xdr:sp macro="" textlink="">
      <xdr:nvSpPr>
        <xdr:cNvPr id="17" name="Arc 10">
          <a:extLst>
            <a:ext uri="{FF2B5EF4-FFF2-40B4-BE49-F238E27FC236}">
              <a16:creationId xmlns:a16="http://schemas.microsoft.com/office/drawing/2014/main" id="{1FC4C279-06C2-4088-97B3-FCEBD392242F}"/>
            </a:ext>
          </a:extLst>
        </xdr:cNvPr>
        <xdr:cNvSpPr>
          <a:spLocks/>
        </xdr:cNvSpPr>
      </xdr:nvSpPr>
      <xdr:spPr bwMode="auto">
        <a:xfrm>
          <a:off x="3025140" y="528066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28575</xdr:rowOff>
    </xdr:from>
    <xdr:to>
      <xdr:col>53</xdr:col>
      <xdr:colOff>0</xdr:colOff>
      <xdr:row>30</xdr:row>
      <xdr:rowOff>85725</xdr:rowOff>
    </xdr:to>
    <xdr:sp macro="" textlink="">
      <xdr:nvSpPr>
        <xdr:cNvPr id="18" name="Arc 11">
          <a:extLst>
            <a:ext uri="{FF2B5EF4-FFF2-40B4-BE49-F238E27FC236}">
              <a16:creationId xmlns:a16="http://schemas.microsoft.com/office/drawing/2014/main" id="{FCA49BF6-21F8-46CC-9792-50810A8B789B}"/>
            </a:ext>
          </a:extLst>
        </xdr:cNvPr>
        <xdr:cNvSpPr>
          <a:spLocks/>
        </xdr:cNvSpPr>
      </xdr:nvSpPr>
      <xdr:spPr bwMode="auto">
        <a:xfrm>
          <a:off x="3025140" y="530923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96</xdr:row>
      <xdr:rowOff>28575</xdr:rowOff>
    </xdr:from>
    <xdr:to>
      <xdr:col>53</xdr:col>
      <xdr:colOff>0</xdr:colOff>
      <xdr:row>96</xdr:row>
      <xdr:rowOff>85725</xdr:rowOff>
    </xdr:to>
    <xdr:sp macro="" textlink="">
      <xdr:nvSpPr>
        <xdr:cNvPr id="19" name="Line 12">
          <a:extLst>
            <a:ext uri="{FF2B5EF4-FFF2-40B4-BE49-F238E27FC236}">
              <a16:creationId xmlns:a16="http://schemas.microsoft.com/office/drawing/2014/main" id="{54514B87-E630-4059-A9B9-DB9DF76291CC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65035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96</xdr:row>
      <xdr:rowOff>9525</xdr:rowOff>
    </xdr:from>
    <xdr:to>
      <xdr:col>53</xdr:col>
      <xdr:colOff>0</xdr:colOff>
      <xdr:row>96</xdr:row>
      <xdr:rowOff>76200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id="{95C2233F-CD0F-4385-831E-6074F8567697}"/>
            </a:ext>
          </a:extLst>
        </xdr:cNvPr>
        <xdr:cNvSpPr>
          <a:spLocks noChangeShapeType="1"/>
        </xdr:cNvSpPr>
      </xdr:nvSpPr>
      <xdr:spPr bwMode="auto">
        <a:xfrm flipV="1">
          <a:off x="3025140" y="663130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96</xdr:row>
      <xdr:rowOff>57150</xdr:rowOff>
    </xdr:from>
    <xdr:to>
      <xdr:col>53</xdr:col>
      <xdr:colOff>0</xdr:colOff>
      <xdr:row>96</xdr:row>
      <xdr:rowOff>57150</xdr:rowOff>
    </xdr:to>
    <xdr:sp macro="" textlink="">
      <xdr:nvSpPr>
        <xdr:cNvPr id="21" name="Line 14">
          <a:extLst>
            <a:ext uri="{FF2B5EF4-FFF2-40B4-BE49-F238E27FC236}">
              <a16:creationId xmlns:a16="http://schemas.microsoft.com/office/drawing/2014/main" id="{D4C94B7C-7075-4D17-AFA3-3B571A1883F5}"/>
            </a:ext>
          </a:extLst>
        </xdr:cNvPr>
        <xdr:cNvSpPr>
          <a:spLocks noChangeShapeType="1"/>
        </xdr:cNvSpPr>
      </xdr:nvSpPr>
      <xdr:spPr bwMode="auto">
        <a:xfrm flipH="1">
          <a:off x="3025140" y="66789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152400</xdr:rowOff>
    </xdr:from>
    <xdr:to>
      <xdr:col>53</xdr:col>
      <xdr:colOff>0</xdr:colOff>
      <xdr:row>30</xdr:row>
      <xdr:rowOff>66675</xdr:rowOff>
    </xdr:to>
    <xdr:sp macro="" textlink="">
      <xdr:nvSpPr>
        <xdr:cNvPr id="22" name="Line 15">
          <a:extLst>
            <a:ext uri="{FF2B5EF4-FFF2-40B4-BE49-F238E27FC236}">
              <a16:creationId xmlns:a16="http://schemas.microsoft.com/office/drawing/2014/main" id="{F641E270-6169-422F-AA9F-F987E1F235AC}"/>
            </a:ext>
          </a:extLst>
        </xdr:cNvPr>
        <xdr:cNvSpPr>
          <a:spLocks noChangeShapeType="1"/>
        </xdr:cNvSpPr>
      </xdr:nvSpPr>
      <xdr:spPr bwMode="auto">
        <a:xfrm flipV="1">
          <a:off x="3025140" y="543306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0</xdr:rowOff>
    </xdr:from>
    <xdr:to>
      <xdr:col>53</xdr:col>
      <xdr:colOff>0</xdr:colOff>
      <xdr:row>31</xdr:row>
      <xdr:rowOff>28575</xdr:rowOff>
    </xdr:to>
    <xdr:sp macro="" textlink="">
      <xdr:nvSpPr>
        <xdr:cNvPr id="23" name="Arc 17">
          <a:extLst>
            <a:ext uri="{FF2B5EF4-FFF2-40B4-BE49-F238E27FC236}">
              <a16:creationId xmlns:a16="http://schemas.microsoft.com/office/drawing/2014/main" id="{A68FB1B9-B741-4B9E-BE8D-6543C9279824}"/>
            </a:ext>
          </a:extLst>
        </xdr:cNvPr>
        <xdr:cNvSpPr>
          <a:spLocks/>
        </xdr:cNvSpPr>
      </xdr:nvSpPr>
      <xdr:spPr bwMode="auto">
        <a:xfrm flipH="1">
          <a:off x="3025140" y="544830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0</xdr:rowOff>
    </xdr:from>
    <xdr:to>
      <xdr:col>53</xdr:col>
      <xdr:colOff>0</xdr:colOff>
      <xdr:row>31</xdr:row>
      <xdr:rowOff>47625</xdr:rowOff>
    </xdr:to>
    <xdr:sp macro="" textlink="">
      <xdr:nvSpPr>
        <xdr:cNvPr id="24" name="Arc 18">
          <a:extLst>
            <a:ext uri="{FF2B5EF4-FFF2-40B4-BE49-F238E27FC236}">
              <a16:creationId xmlns:a16="http://schemas.microsoft.com/office/drawing/2014/main" id="{8D7B9C89-958E-4989-9345-C624E6D74D29}"/>
            </a:ext>
          </a:extLst>
        </xdr:cNvPr>
        <xdr:cNvSpPr>
          <a:spLocks/>
        </xdr:cNvSpPr>
      </xdr:nvSpPr>
      <xdr:spPr bwMode="auto">
        <a:xfrm>
          <a:off x="3025140" y="544830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28575</xdr:rowOff>
    </xdr:from>
    <xdr:to>
      <xdr:col>53</xdr:col>
      <xdr:colOff>0</xdr:colOff>
      <xdr:row>31</xdr:row>
      <xdr:rowOff>85725</xdr:rowOff>
    </xdr:to>
    <xdr:sp macro="" textlink="">
      <xdr:nvSpPr>
        <xdr:cNvPr id="25" name="Arc 19">
          <a:extLst>
            <a:ext uri="{FF2B5EF4-FFF2-40B4-BE49-F238E27FC236}">
              <a16:creationId xmlns:a16="http://schemas.microsoft.com/office/drawing/2014/main" id="{D70C1FE5-2447-4356-93D0-D61914984A22}"/>
            </a:ext>
          </a:extLst>
        </xdr:cNvPr>
        <xdr:cNvSpPr>
          <a:spLocks/>
        </xdr:cNvSpPr>
      </xdr:nvSpPr>
      <xdr:spPr bwMode="auto">
        <a:xfrm>
          <a:off x="3025140" y="547687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56</xdr:row>
      <xdr:rowOff>28575</xdr:rowOff>
    </xdr:from>
    <xdr:to>
      <xdr:col>53</xdr:col>
      <xdr:colOff>0</xdr:colOff>
      <xdr:row>56</xdr:row>
      <xdr:rowOff>85725</xdr:rowOff>
    </xdr:to>
    <xdr:sp macro="" textlink="">
      <xdr:nvSpPr>
        <xdr:cNvPr id="26" name="Line 20">
          <a:extLst>
            <a:ext uri="{FF2B5EF4-FFF2-40B4-BE49-F238E27FC236}">
              <a16:creationId xmlns:a16="http://schemas.microsoft.com/office/drawing/2014/main" id="{678A88FC-E437-4842-B9F0-4086CF44ABEB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81799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56</xdr:row>
      <xdr:rowOff>9525</xdr:rowOff>
    </xdr:from>
    <xdr:to>
      <xdr:col>53</xdr:col>
      <xdr:colOff>0</xdr:colOff>
      <xdr:row>56</xdr:row>
      <xdr:rowOff>76200</xdr:rowOff>
    </xdr:to>
    <xdr:sp macro="" textlink="">
      <xdr:nvSpPr>
        <xdr:cNvPr id="27" name="Line 21">
          <a:extLst>
            <a:ext uri="{FF2B5EF4-FFF2-40B4-BE49-F238E27FC236}">
              <a16:creationId xmlns:a16="http://schemas.microsoft.com/office/drawing/2014/main" id="{E874DD1F-A11B-4AEC-B205-3AC4CB3347F7}"/>
            </a:ext>
          </a:extLst>
        </xdr:cNvPr>
        <xdr:cNvSpPr>
          <a:spLocks noChangeShapeType="1"/>
        </xdr:cNvSpPr>
      </xdr:nvSpPr>
      <xdr:spPr bwMode="auto">
        <a:xfrm flipV="1">
          <a:off x="3025140" y="679894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56</xdr:row>
      <xdr:rowOff>57150</xdr:rowOff>
    </xdr:from>
    <xdr:to>
      <xdr:col>53</xdr:col>
      <xdr:colOff>0</xdr:colOff>
      <xdr:row>56</xdr:row>
      <xdr:rowOff>57150</xdr:rowOff>
    </xdr:to>
    <xdr:sp macro="" textlink="">
      <xdr:nvSpPr>
        <xdr:cNvPr id="28" name="Line 22">
          <a:extLst>
            <a:ext uri="{FF2B5EF4-FFF2-40B4-BE49-F238E27FC236}">
              <a16:creationId xmlns:a16="http://schemas.microsoft.com/office/drawing/2014/main" id="{6A56EC45-33C7-43EF-9A6A-73C97CCFFFE1}"/>
            </a:ext>
          </a:extLst>
        </xdr:cNvPr>
        <xdr:cNvSpPr>
          <a:spLocks noChangeShapeType="1"/>
        </xdr:cNvSpPr>
      </xdr:nvSpPr>
      <xdr:spPr bwMode="auto">
        <a:xfrm flipH="1">
          <a:off x="3025140" y="68465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152400</xdr:rowOff>
    </xdr:from>
    <xdr:to>
      <xdr:col>53</xdr:col>
      <xdr:colOff>0</xdr:colOff>
      <xdr:row>31</xdr:row>
      <xdr:rowOff>66675</xdr:rowOff>
    </xdr:to>
    <xdr:sp macro="" textlink="">
      <xdr:nvSpPr>
        <xdr:cNvPr id="29" name="Line 23">
          <a:extLst>
            <a:ext uri="{FF2B5EF4-FFF2-40B4-BE49-F238E27FC236}">
              <a16:creationId xmlns:a16="http://schemas.microsoft.com/office/drawing/2014/main" id="{C3F64713-1C96-4E4C-BD7B-4C74EA6008E5}"/>
            </a:ext>
          </a:extLst>
        </xdr:cNvPr>
        <xdr:cNvSpPr>
          <a:spLocks noChangeShapeType="1"/>
        </xdr:cNvSpPr>
      </xdr:nvSpPr>
      <xdr:spPr bwMode="auto">
        <a:xfrm flipV="1">
          <a:off x="3025140" y="560070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145067</xdr:colOff>
      <xdr:row>0</xdr:row>
      <xdr:rowOff>63130</xdr:rowOff>
    </xdr:from>
    <xdr:ext cx="1804533" cy="316882"/>
    <xdr:sp macro="" textlink="">
      <xdr:nvSpPr>
        <xdr:cNvPr id="3073" name="Texte 1">
          <a:extLst>
            <a:ext uri="{FF2B5EF4-FFF2-40B4-BE49-F238E27FC236}">
              <a16:creationId xmlns:a16="http://schemas.microsoft.com/office/drawing/2014/main" id="{523A5761-3D21-45C4-B97F-4D69CC094079}"/>
            </a:ext>
          </a:extLst>
        </xdr:cNvPr>
        <xdr:cNvSpPr txBox="1">
          <a:spLocks noChangeArrowheads="1"/>
        </xdr:cNvSpPr>
      </xdr:nvSpPr>
      <xdr:spPr bwMode="auto">
        <a:xfrm>
          <a:off x="945167" y="63130"/>
          <a:ext cx="1804533" cy="3168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Century Gothic"/>
            </a:rPr>
            <a:t>290 Cadrans ou +</a:t>
          </a:r>
          <a:endParaRPr lang="fr-FR"/>
        </a:p>
      </xdr:txBody>
    </xdr:sp>
    <xdr:clientData/>
  </xdr:oneCellAnchor>
  <xdr:oneCellAnchor>
    <xdr:from>
      <xdr:col>19</xdr:col>
      <xdr:colOff>142123</xdr:colOff>
      <xdr:row>0</xdr:row>
      <xdr:rowOff>63130</xdr:rowOff>
    </xdr:from>
    <xdr:ext cx="1488676" cy="316882"/>
    <xdr:sp macro="" textlink="">
      <xdr:nvSpPr>
        <xdr:cNvPr id="3074" name="Texte 2">
          <a:extLst>
            <a:ext uri="{FF2B5EF4-FFF2-40B4-BE49-F238E27FC236}">
              <a16:creationId xmlns:a16="http://schemas.microsoft.com/office/drawing/2014/main" id="{E127AF62-59C1-4DC6-A3BB-B3E10569893F}"/>
            </a:ext>
          </a:extLst>
        </xdr:cNvPr>
        <xdr:cNvSpPr txBox="1">
          <a:spLocks noChangeArrowheads="1"/>
        </xdr:cNvSpPr>
      </xdr:nvSpPr>
      <xdr:spPr bwMode="auto">
        <a:xfrm>
          <a:off x="7657348" y="63130"/>
          <a:ext cx="1488676" cy="3168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Century Gothic"/>
            </a:rPr>
            <a:t>&lt; 100 Cadrans</a:t>
          </a:r>
          <a:endParaRPr lang="fr-FR"/>
        </a:p>
      </xdr:txBody>
    </xdr:sp>
    <xdr:clientData/>
  </xdr:oneCellAnchor>
  <xdr:oneCellAnchor>
    <xdr:from>
      <xdr:col>11</xdr:col>
      <xdr:colOff>142123</xdr:colOff>
      <xdr:row>0</xdr:row>
      <xdr:rowOff>63130</xdr:rowOff>
    </xdr:from>
    <xdr:ext cx="1488677" cy="316882"/>
    <xdr:sp macro="" textlink="">
      <xdr:nvSpPr>
        <xdr:cNvPr id="3075" name="Texte 2">
          <a:extLst>
            <a:ext uri="{FF2B5EF4-FFF2-40B4-BE49-F238E27FC236}">
              <a16:creationId xmlns:a16="http://schemas.microsoft.com/office/drawing/2014/main" id="{F360F32B-A3CD-4B0D-88A7-85EFBF0A3E33}"/>
            </a:ext>
          </a:extLst>
        </xdr:cNvPr>
        <xdr:cNvSpPr txBox="1">
          <a:spLocks noChangeArrowheads="1"/>
        </xdr:cNvSpPr>
      </xdr:nvSpPr>
      <xdr:spPr bwMode="auto">
        <a:xfrm>
          <a:off x="4409323" y="63130"/>
          <a:ext cx="1488677" cy="3168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Century Gothic"/>
            </a:rPr>
            <a:t>&lt; 290 Cadrans</a:t>
          </a:r>
          <a:endParaRPr lang="fr-FR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124</xdr:col>
      <xdr:colOff>0</xdr:colOff>
      <xdr:row>45</xdr:row>
      <xdr:rowOff>38100</xdr:rowOff>
    </xdr:from>
    <xdr:to>
      <xdr:col>125</xdr:col>
      <xdr:colOff>0</xdr:colOff>
      <xdr:row>45</xdr:row>
      <xdr:rowOff>114300</xdr:rowOff>
    </xdr:to>
    <xdr:sp macro="" textlink="">
      <xdr:nvSpPr>
        <xdr:cNvPr id="4252" name="Line 1">
          <a:extLst>
            <a:ext uri="{FF2B5EF4-FFF2-40B4-BE49-F238E27FC236}">
              <a16:creationId xmlns:a16="http://schemas.microsoft.com/office/drawing/2014/main" id="{74E75883-975C-4BB6-AF26-79B0882E1EE8}"/>
            </a:ext>
          </a:extLst>
        </xdr:cNvPr>
        <xdr:cNvSpPr>
          <a:spLocks noChangeShapeType="1"/>
        </xdr:cNvSpPr>
      </xdr:nvSpPr>
      <xdr:spPr bwMode="auto">
        <a:xfrm>
          <a:off x="7258050" y="8686800"/>
          <a:ext cx="43815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125</xdr:col>
      <xdr:colOff>0</xdr:colOff>
      <xdr:row>45</xdr:row>
      <xdr:rowOff>28575</xdr:rowOff>
    </xdr:from>
    <xdr:to>
      <xdr:col>126</xdr:col>
      <xdr:colOff>0</xdr:colOff>
      <xdr:row>45</xdr:row>
      <xdr:rowOff>114300</xdr:rowOff>
    </xdr:to>
    <xdr:sp macro="" textlink="">
      <xdr:nvSpPr>
        <xdr:cNvPr id="4253" name="Line 2">
          <a:extLst>
            <a:ext uri="{FF2B5EF4-FFF2-40B4-BE49-F238E27FC236}">
              <a16:creationId xmlns:a16="http://schemas.microsoft.com/office/drawing/2014/main" id="{F70AFCE3-182C-42EA-ABD8-C06C9AC9E697}"/>
            </a:ext>
          </a:extLst>
        </xdr:cNvPr>
        <xdr:cNvSpPr>
          <a:spLocks noChangeShapeType="1"/>
        </xdr:cNvSpPr>
      </xdr:nvSpPr>
      <xdr:spPr bwMode="auto">
        <a:xfrm flipV="1">
          <a:off x="7696200" y="8677275"/>
          <a:ext cx="43815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28575</xdr:rowOff>
    </xdr:to>
    <xdr:sp macro="" textlink="">
      <xdr:nvSpPr>
        <xdr:cNvPr id="54627" name="Arc 1">
          <a:extLst>
            <a:ext uri="{FF2B5EF4-FFF2-40B4-BE49-F238E27FC236}">
              <a16:creationId xmlns:a16="http://schemas.microsoft.com/office/drawing/2014/main" id="{B8500DE0-8475-4833-A12E-A7558E9DB26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47625</xdr:rowOff>
    </xdr:to>
    <xdr:sp macro="" textlink="">
      <xdr:nvSpPr>
        <xdr:cNvPr id="54628" name="Arc 2">
          <a:extLst>
            <a:ext uri="{FF2B5EF4-FFF2-40B4-BE49-F238E27FC236}">
              <a16:creationId xmlns:a16="http://schemas.microsoft.com/office/drawing/2014/main" id="{A8552EBB-9A99-47CE-B405-7D3C8BFCFA04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28575</xdr:rowOff>
    </xdr:from>
    <xdr:to>
      <xdr:col>20</xdr:col>
      <xdr:colOff>0</xdr:colOff>
      <xdr:row>30</xdr:row>
      <xdr:rowOff>85725</xdr:rowOff>
    </xdr:to>
    <xdr:sp macro="" textlink="">
      <xdr:nvSpPr>
        <xdr:cNvPr id="54629" name="Arc 3">
          <a:extLst>
            <a:ext uri="{FF2B5EF4-FFF2-40B4-BE49-F238E27FC236}">
              <a16:creationId xmlns:a16="http://schemas.microsoft.com/office/drawing/2014/main" id="{281CEAC8-F5F2-4BC0-BE1D-9DC4EBC2415C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60</xdr:row>
      <xdr:rowOff>28575</xdr:rowOff>
    </xdr:from>
    <xdr:to>
      <xdr:col>20</xdr:col>
      <xdr:colOff>0</xdr:colOff>
      <xdr:row>60</xdr:row>
      <xdr:rowOff>85725</xdr:rowOff>
    </xdr:to>
    <xdr:sp macro="" textlink="">
      <xdr:nvSpPr>
        <xdr:cNvPr id="54630" name="Line 4">
          <a:extLst>
            <a:ext uri="{FF2B5EF4-FFF2-40B4-BE49-F238E27FC236}">
              <a16:creationId xmlns:a16="http://schemas.microsoft.com/office/drawing/2014/main" id="{795EE3E6-3112-4888-9F3A-EE3F436C0517}"/>
            </a:ext>
          </a:extLst>
        </xdr:cNvPr>
        <xdr:cNvSpPr>
          <a:spLocks noChangeShapeType="1"/>
        </xdr:cNvSpPr>
      </xdr:nvSpPr>
      <xdr:spPr bwMode="auto">
        <a:xfrm flipH="1" flipV="1">
          <a:off x="2009775" y="45053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60</xdr:row>
      <xdr:rowOff>9525</xdr:rowOff>
    </xdr:from>
    <xdr:to>
      <xdr:col>20</xdr:col>
      <xdr:colOff>0</xdr:colOff>
      <xdr:row>60</xdr:row>
      <xdr:rowOff>76200</xdr:rowOff>
    </xdr:to>
    <xdr:sp macro="" textlink="">
      <xdr:nvSpPr>
        <xdr:cNvPr id="54631" name="Line 5">
          <a:extLst>
            <a:ext uri="{FF2B5EF4-FFF2-40B4-BE49-F238E27FC236}">
              <a16:creationId xmlns:a16="http://schemas.microsoft.com/office/drawing/2014/main" id="{37FAA6DC-B244-47B5-B73A-816019940BD3}"/>
            </a:ext>
          </a:extLst>
        </xdr:cNvPr>
        <xdr:cNvSpPr>
          <a:spLocks noChangeShapeType="1"/>
        </xdr:cNvSpPr>
      </xdr:nvSpPr>
      <xdr:spPr bwMode="auto">
        <a:xfrm flipV="1">
          <a:off x="2009775" y="44862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60</xdr:row>
      <xdr:rowOff>57150</xdr:rowOff>
    </xdr:from>
    <xdr:to>
      <xdr:col>20</xdr:col>
      <xdr:colOff>0</xdr:colOff>
      <xdr:row>60</xdr:row>
      <xdr:rowOff>57150</xdr:rowOff>
    </xdr:to>
    <xdr:sp macro="" textlink="">
      <xdr:nvSpPr>
        <xdr:cNvPr id="54632" name="Line 6">
          <a:extLst>
            <a:ext uri="{FF2B5EF4-FFF2-40B4-BE49-F238E27FC236}">
              <a16:creationId xmlns:a16="http://schemas.microsoft.com/office/drawing/2014/main" id="{FC131D74-DE9B-46EA-812D-1737ACE28B0F}"/>
            </a:ext>
          </a:extLst>
        </xdr:cNvPr>
        <xdr:cNvSpPr>
          <a:spLocks noChangeShapeType="1"/>
        </xdr:cNvSpPr>
      </xdr:nvSpPr>
      <xdr:spPr bwMode="auto">
        <a:xfrm flipH="1">
          <a:off x="2009775" y="453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152400</xdr:rowOff>
    </xdr:from>
    <xdr:to>
      <xdr:col>20</xdr:col>
      <xdr:colOff>0</xdr:colOff>
      <xdr:row>30</xdr:row>
      <xdr:rowOff>66675</xdr:rowOff>
    </xdr:to>
    <xdr:sp macro="" textlink="">
      <xdr:nvSpPr>
        <xdr:cNvPr id="54633" name="Line 7">
          <a:extLst>
            <a:ext uri="{FF2B5EF4-FFF2-40B4-BE49-F238E27FC236}">
              <a16:creationId xmlns:a16="http://schemas.microsoft.com/office/drawing/2014/main" id="{8A77CD28-31FC-4E5E-AF15-ADAD9D60640C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104775</xdr:colOff>
      <xdr:row>79</xdr:row>
      <xdr:rowOff>19050</xdr:rowOff>
    </xdr:from>
    <xdr:ext cx="3100708" cy="298055"/>
    <xdr:sp macro="" textlink="">
      <xdr:nvSpPr>
        <xdr:cNvPr id="7176" name="Text Box 8">
          <a:extLst>
            <a:ext uri="{FF2B5EF4-FFF2-40B4-BE49-F238E27FC236}">
              <a16:creationId xmlns:a16="http://schemas.microsoft.com/office/drawing/2014/main" id="{F0859088-C042-42F4-8E33-B9AB21BAF48B}"/>
            </a:ext>
          </a:extLst>
        </xdr:cNvPr>
        <xdr:cNvSpPr txBox="1">
          <a:spLocks noChangeArrowheads="1"/>
        </xdr:cNvSpPr>
      </xdr:nvSpPr>
      <xdr:spPr bwMode="auto">
        <a:xfrm>
          <a:off x="1171575" y="2449830"/>
          <a:ext cx="3096232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classer par ordre alpha colonne A</a:t>
          </a:r>
          <a:endParaRPr lang="fr-FR"/>
        </a:p>
      </xdr:txBody>
    </xdr:sp>
    <xdr:clientData/>
  </xdr:one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28575</xdr:rowOff>
    </xdr:to>
    <xdr:sp macro="" textlink="">
      <xdr:nvSpPr>
        <xdr:cNvPr id="54635" name="Arc 9">
          <a:extLst>
            <a:ext uri="{FF2B5EF4-FFF2-40B4-BE49-F238E27FC236}">
              <a16:creationId xmlns:a16="http://schemas.microsoft.com/office/drawing/2014/main" id="{588990E3-151B-47E8-893A-AA58766A971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47625</xdr:rowOff>
    </xdr:to>
    <xdr:sp macro="" textlink="">
      <xdr:nvSpPr>
        <xdr:cNvPr id="54636" name="Arc 10">
          <a:extLst>
            <a:ext uri="{FF2B5EF4-FFF2-40B4-BE49-F238E27FC236}">
              <a16:creationId xmlns:a16="http://schemas.microsoft.com/office/drawing/2014/main" id="{C3CA7B2E-B214-4ED1-9568-3DC646EA58D2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28575</xdr:rowOff>
    </xdr:from>
    <xdr:to>
      <xdr:col>22</xdr:col>
      <xdr:colOff>0</xdr:colOff>
      <xdr:row>30</xdr:row>
      <xdr:rowOff>85725</xdr:rowOff>
    </xdr:to>
    <xdr:sp macro="" textlink="">
      <xdr:nvSpPr>
        <xdr:cNvPr id="54637" name="Arc 11">
          <a:extLst>
            <a:ext uri="{FF2B5EF4-FFF2-40B4-BE49-F238E27FC236}">
              <a16:creationId xmlns:a16="http://schemas.microsoft.com/office/drawing/2014/main" id="{7710F07C-C7C3-4159-BAE7-8E161B643265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8</xdr:row>
      <xdr:rowOff>28575</xdr:rowOff>
    </xdr:from>
    <xdr:to>
      <xdr:col>22</xdr:col>
      <xdr:colOff>0</xdr:colOff>
      <xdr:row>8</xdr:row>
      <xdr:rowOff>85725</xdr:rowOff>
    </xdr:to>
    <xdr:sp macro="" textlink="">
      <xdr:nvSpPr>
        <xdr:cNvPr id="54638" name="Line 12">
          <a:extLst>
            <a:ext uri="{FF2B5EF4-FFF2-40B4-BE49-F238E27FC236}">
              <a16:creationId xmlns:a16="http://schemas.microsoft.com/office/drawing/2014/main" id="{AA44B5DF-8709-4708-87A7-7CB6C6FF279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59626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8</xdr:row>
      <xdr:rowOff>9525</xdr:rowOff>
    </xdr:from>
    <xdr:to>
      <xdr:col>22</xdr:col>
      <xdr:colOff>0</xdr:colOff>
      <xdr:row>8</xdr:row>
      <xdr:rowOff>76200</xdr:rowOff>
    </xdr:to>
    <xdr:sp macro="" textlink="">
      <xdr:nvSpPr>
        <xdr:cNvPr id="54639" name="Line 13">
          <a:extLst>
            <a:ext uri="{FF2B5EF4-FFF2-40B4-BE49-F238E27FC236}">
              <a16:creationId xmlns:a16="http://schemas.microsoft.com/office/drawing/2014/main" id="{08D4D821-F144-41C8-AB4F-A3AAFCC47243}"/>
            </a:ext>
          </a:extLst>
        </xdr:cNvPr>
        <xdr:cNvSpPr>
          <a:spLocks noChangeShapeType="1"/>
        </xdr:cNvSpPr>
      </xdr:nvSpPr>
      <xdr:spPr bwMode="auto">
        <a:xfrm flipV="1">
          <a:off x="2009775" y="59436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8</xdr:row>
      <xdr:rowOff>57150</xdr:rowOff>
    </xdr:from>
    <xdr:to>
      <xdr:col>22</xdr:col>
      <xdr:colOff>0</xdr:colOff>
      <xdr:row>8</xdr:row>
      <xdr:rowOff>57150</xdr:rowOff>
    </xdr:to>
    <xdr:sp macro="" textlink="">
      <xdr:nvSpPr>
        <xdr:cNvPr id="54640" name="Line 14">
          <a:extLst>
            <a:ext uri="{FF2B5EF4-FFF2-40B4-BE49-F238E27FC236}">
              <a16:creationId xmlns:a16="http://schemas.microsoft.com/office/drawing/2014/main" id="{1DB436C6-C241-482C-A246-F71075123887}"/>
            </a:ext>
          </a:extLst>
        </xdr:cNvPr>
        <xdr:cNvSpPr>
          <a:spLocks noChangeShapeType="1"/>
        </xdr:cNvSpPr>
      </xdr:nvSpPr>
      <xdr:spPr bwMode="auto">
        <a:xfrm flipH="1">
          <a:off x="2009775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152400</xdr:rowOff>
    </xdr:from>
    <xdr:to>
      <xdr:col>22</xdr:col>
      <xdr:colOff>0</xdr:colOff>
      <xdr:row>30</xdr:row>
      <xdr:rowOff>66675</xdr:rowOff>
    </xdr:to>
    <xdr:sp macro="" textlink="">
      <xdr:nvSpPr>
        <xdr:cNvPr id="54641" name="Line 15">
          <a:extLst>
            <a:ext uri="{FF2B5EF4-FFF2-40B4-BE49-F238E27FC236}">
              <a16:creationId xmlns:a16="http://schemas.microsoft.com/office/drawing/2014/main" id="{685F3080-D136-449E-990D-38504B7122EC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4642" name="Arc 16">
          <a:extLst>
            <a:ext uri="{FF2B5EF4-FFF2-40B4-BE49-F238E27FC236}">
              <a16:creationId xmlns:a16="http://schemas.microsoft.com/office/drawing/2014/main" id="{3503695D-7986-4AAD-B30E-D1EDC0F8F7CB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4643" name="Arc 17">
          <a:extLst>
            <a:ext uri="{FF2B5EF4-FFF2-40B4-BE49-F238E27FC236}">
              <a16:creationId xmlns:a16="http://schemas.microsoft.com/office/drawing/2014/main" id="{7F0BF446-BCDC-4480-B429-DE8C39F02729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4644" name="Arc 18">
          <a:extLst>
            <a:ext uri="{FF2B5EF4-FFF2-40B4-BE49-F238E27FC236}">
              <a16:creationId xmlns:a16="http://schemas.microsoft.com/office/drawing/2014/main" id="{A140829A-D2A7-4CA0-A96B-DBCDED57151B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32</xdr:row>
      <xdr:rowOff>28575</xdr:rowOff>
    </xdr:from>
    <xdr:to>
      <xdr:col>18</xdr:col>
      <xdr:colOff>0</xdr:colOff>
      <xdr:row>32</xdr:row>
      <xdr:rowOff>85725</xdr:rowOff>
    </xdr:to>
    <xdr:sp macro="" textlink="">
      <xdr:nvSpPr>
        <xdr:cNvPr id="54645" name="Line 19">
          <a:extLst>
            <a:ext uri="{FF2B5EF4-FFF2-40B4-BE49-F238E27FC236}">
              <a16:creationId xmlns:a16="http://schemas.microsoft.com/office/drawing/2014/main" id="{CED8A3AA-333E-4DE9-A597-AF052C776C7F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27635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32</xdr:row>
      <xdr:rowOff>9525</xdr:rowOff>
    </xdr:from>
    <xdr:to>
      <xdr:col>18</xdr:col>
      <xdr:colOff>0</xdr:colOff>
      <xdr:row>32</xdr:row>
      <xdr:rowOff>76200</xdr:rowOff>
    </xdr:to>
    <xdr:sp macro="" textlink="">
      <xdr:nvSpPr>
        <xdr:cNvPr id="54646" name="Line 20">
          <a:extLst>
            <a:ext uri="{FF2B5EF4-FFF2-40B4-BE49-F238E27FC236}">
              <a16:creationId xmlns:a16="http://schemas.microsoft.com/office/drawing/2014/main" id="{F439F84B-8EDC-492F-84BB-E5439A066C6D}"/>
            </a:ext>
          </a:extLst>
        </xdr:cNvPr>
        <xdr:cNvSpPr>
          <a:spLocks noChangeShapeType="1"/>
        </xdr:cNvSpPr>
      </xdr:nvSpPr>
      <xdr:spPr bwMode="auto">
        <a:xfrm flipV="1">
          <a:off x="2009775" y="127444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32</xdr:row>
      <xdr:rowOff>57150</xdr:rowOff>
    </xdr:from>
    <xdr:to>
      <xdr:col>18</xdr:col>
      <xdr:colOff>0</xdr:colOff>
      <xdr:row>32</xdr:row>
      <xdr:rowOff>57150</xdr:rowOff>
    </xdr:to>
    <xdr:sp macro="" textlink="">
      <xdr:nvSpPr>
        <xdr:cNvPr id="54647" name="Line 21">
          <a:extLst>
            <a:ext uri="{FF2B5EF4-FFF2-40B4-BE49-F238E27FC236}">
              <a16:creationId xmlns:a16="http://schemas.microsoft.com/office/drawing/2014/main" id="{F54F60A7-75F7-4D0E-B6A1-8D7F92C6B4BA}"/>
            </a:ext>
          </a:extLst>
        </xdr:cNvPr>
        <xdr:cNvSpPr>
          <a:spLocks noChangeShapeType="1"/>
        </xdr:cNvSpPr>
      </xdr:nvSpPr>
      <xdr:spPr bwMode="auto">
        <a:xfrm flipH="1">
          <a:off x="2009775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4648" name="Line 22">
          <a:extLst>
            <a:ext uri="{FF2B5EF4-FFF2-40B4-BE49-F238E27FC236}">
              <a16:creationId xmlns:a16="http://schemas.microsoft.com/office/drawing/2014/main" id="{80837169-52BF-44CF-8E15-2F9E25D36440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28575</xdr:rowOff>
    </xdr:to>
    <xdr:sp macro="" textlink="">
      <xdr:nvSpPr>
        <xdr:cNvPr id="54649" name="Arc 23">
          <a:extLst>
            <a:ext uri="{FF2B5EF4-FFF2-40B4-BE49-F238E27FC236}">
              <a16:creationId xmlns:a16="http://schemas.microsoft.com/office/drawing/2014/main" id="{795CA5AC-F38C-463B-B3B4-36F2073E0B0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47625</xdr:rowOff>
    </xdr:to>
    <xdr:sp macro="" textlink="">
      <xdr:nvSpPr>
        <xdr:cNvPr id="54650" name="Arc 24">
          <a:extLst>
            <a:ext uri="{FF2B5EF4-FFF2-40B4-BE49-F238E27FC236}">
              <a16:creationId xmlns:a16="http://schemas.microsoft.com/office/drawing/2014/main" id="{484E1BD9-B6FE-45C6-892D-C46D9A621807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28575</xdr:rowOff>
    </xdr:from>
    <xdr:to>
      <xdr:col>20</xdr:col>
      <xdr:colOff>0</xdr:colOff>
      <xdr:row>30</xdr:row>
      <xdr:rowOff>85725</xdr:rowOff>
    </xdr:to>
    <xdr:sp macro="" textlink="">
      <xdr:nvSpPr>
        <xdr:cNvPr id="54651" name="Arc 25">
          <a:extLst>
            <a:ext uri="{FF2B5EF4-FFF2-40B4-BE49-F238E27FC236}">
              <a16:creationId xmlns:a16="http://schemas.microsoft.com/office/drawing/2014/main" id="{3B0D57A2-8261-4584-B0EA-575EB26EE399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86</xdr:row>
      <xdr:rowOff>28575</xdr:rowOff>
    </xdr:from>
    <xdr:to>
      <xdr:col>20</xdr:col>
      <xdr:colOff>0</xdr:colOff>
      <xdr:row>86</xdr:row>
      <xdr:rowOff>85725</xdr:rowOff>
    </xdr:to>
    <xdr:sp macro="" textlink="">
      <xdr:nvSpPr>
        <xdr:cNvPr id="54652" name="Line 26">
          <a:extLst>
            <a:ext uri="{FF2B5EF4-FFF2-40B4-BE49-F238E27FC236}">
              <a16:creationId xmlns:a16="http://schemas.microsoft.com/office/drawing/2014/main" id="{3850522F-5FD2-4189-8230-8635BCC4984A}"/>
            </a:ext>
          </a:extLst>
        </xdr:cNvPr>
        <xdr:cNvSpPr>
          <a:spLocks noChangeShapeType="1"/>
        </xdr:cNvSpPr>
      </xdr:nvSpPr>
      <xdr:spPr bwMode="auto">
        <a:xfrm flipH="1" flipV="1">
          <a:off x="2009775" y="95250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86</xdr:row>
      <xdr:rowOff>9525</xdr:rowOff>
    </xdr:from>
    <xdr:to>
      <xdr:col>20</xdr:col>
      <xdr:colOff>0</xdr:colOff>
      <xdr:row>86</xdr:row>
      <xdr:rowOff>76200</xdr:rowOff>
    </xdr:to>
    <xdr:sp macro="" textlink="">
      <xdr:nvSpPr>
        <xdr:cNvPr id="54653" name="Line 27">
          <a:extLst>
            <a:ext uri="{FF2B5EF4-FFF2-40B4-BE49-F238E27FC236}">
              <a16:creationId xmlns:a16="http://schemas.microsoft.com/office/drawing/2014/main" id="{82644167-B257-4D3C-B968-C7B62F617A14}"/>
            </a:ext>
          </a:extLst>
        </xdr:cNvPr>
        <xdr:cNvSpPr>
          <a:spLocks noChangeShapeType="1"/>
        </xdr:cNvSpPr>
      </xdr:nvSpPr>
      <xdr:spPr bwMode="auto">
        <a:xfrm flipV="1">
          <a:off x="2009775" y="95059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86</xdr:row>
      <xdr:rowOff>57150</xdr:rowOff>
    </xdr:from>
    <xdr:to>
      <xdr:col>20</xdr:col>
      <xdr:colOff>0</xdr:colOff>
      <xdr:row>86</xdr:row>
      <xdr:rowOff>57150</xdr:rowOff>
    </xdr:to>
    <xdr:sp macro="" textlink="">
      <xdr:nvSpPr>
        <xdr:cNvPr id="54654" name="Line 28">
          <a:extLst>
            <a:ext uri="{FF2B5EF4-FFF2-40B4-BE49-F238E27FC236}">
              <a16:creationId xmlns:a16="http://schemas.microsoft.com/office/drawing/2014/main" id="{8A8880E0-9229-43BE-8632-5E80E9D23227}"/>
            </a:ext>
          </a:extLst>
        </xdr:cNvPr>
        <xdr:cNvSpPr>
          <a:spLocks noChangeShapeType="1"/>
        </xdr:cNvSpPr>
      </xdr:nvSpPr>
      <xdr:spPr bwMode="auto">
        <a:xfrm flipH="1">
          <a:off x="2009775" y="9553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152400</xdr:rowOff>
    </xdr:from>
    <xdr:to>
      <xdr:col>20</xdr:col>
      <xdr:colOff>0</xdr:colOff>
      <xdr:row>30</xdr:row>
      <xdr:rowOff>66675</xdr:rowOff>
    </xdr:to>
    <xdr:sp macro="" textlink="">
      <xdr:nvSpPr>
        <xdr:cNvPr id="54655" name="Line 29">
          <a:extLst>
            <a:ext uri="{FF2B5EF4-FFF2-40B4-BE49-F238E27FC236}">
              <a16:creationId xmlns:a16="http://schemas.microsoft.com/office/drawing/2014/main" id="{9DAA6373-6D65-44DC-A3B5-B9F1A203AD7E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87</xdr:row>
      <xdr:rowOff>81915</xdr:rowOff>
    </xdr:from>
    <xdr:ext cx="1863139" cy="282770"/>
    <xdr:sp macro="" textlink="">
      <xdr:nvSpPr>
        <xdr:cNvPr id="7198" name="Text Box 30">
          <a:extLst>
            <a:ext uri="{FF2B5EF4-FFF2-40B4-BE49-F238E27FC236}">
              <a16:creationId xmlns:a16="http://schemas.microsoft.com/office/drawing/2014/main" id="{97B57C06-3DAC-4917-91DC-B7E849023236}"/>
            </a:ext>
          </a:extLst>
        </xdr:cNvPr>
        <xdr:cNvSpPr txBox="1">
          <a:spLocks noChangeArrowheads="1"/>
        </xdr:cNvSpPr>
      </xdr:nvSpPr>
      <xdr:spPr bwMode="auto">
        <a:xfrm>
          <a:off x="1114425" y="10387965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28575</xdr:rowOff>
    </xdr:to>
    <xdr:sp macro="" textlink="">
      <xdr:nvSpPr>
        <xdr:cNvPr id="54657" name="Arc 31">
          <a:extLst>
            <a:ext uri="{FF2B5EF4-FFF2-40B4-BE49-F238E27FC236}">
              <a16:creationId xmlns:a16="http://schemas.microsoft.com/office/drawing/2014/main" id="{3B497D96-5546-4AE6-86E3-2C3EE01BF72B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47625</xdr:rowOff>
    </xdr:to>
    <xdr:sp macro="" textlink="">
      <xdr:nvSpPr>
        <xdr:cNvPr id="54658" name="Arc 32">
          <a:extLst>
            <a:ext uri="{FF2B5EF4-FFF2-40B4-BE49-F238E27FC236}">
              <a16:creationId xmlns:a16="http://schemas.microsoft.com/office/drawing/2014/main" id="{9B1FA765-D772-4C37-A64F-9466D95BD515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28575</xdr:rowOff>
    </xdr:from>
    <xdr:to>
      <xdr:col>22</xdr:col>
      <xdr:colOff>0</xdr:colOff>
      <xdr:row>30</xdr:row>
      <xdr:rowOff>85725</xdr:rowOff>
    </xdr:to>
    <xdr:sp macro="" textlink="">
      <xdr:nvSpPr>
        <xdr:cNvPr id="54659" name="Arc 33">
          <a:extLst>
            <a:ext uri="{FF2B5EF4-FFF2-40B4-BE49-F238E27FC236}">
              <a16:creationId xmlns:a16="http://schemas.microsoft.com/office/drawing/2014/main" id="{B1F30E06-F865-462B-B481-79E348B27C4D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32</xdr:row>
      <xdr:rowOff>28575</xdr:rowOff>
    </xdr:from>
    <xdr:to>
      <xdr:col>22</xdr:col>
      <xdr:colOff>0</xdr:colOff>
      <xdr:row>32</xdr:row>
      <xdr:rowOff>85725</xdr:rowOff>
    </xdr:to>
    <xdr:sp macro="" textlink="">
      <xdr:nvSpPr>
        <xdr:cNvPr id="54660" name="Line 34">
          <a:extLst>
            <a:ext uri="{FF2B5EF4-FFF2-40B4-BE49-F238E27FC236}">
              <a16:creationId xmlns:a16="http://schemas.microsoft.com/office/drawing/2014/main" id="{FD88A294-6691-4552-BDDE-595972715A17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27635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32</xdr:row>
      <xdr:rowOff>9525</xdr:rowOff>
    </xdr:from>
    <xdr:to>
      <xdr:col>22</xdr:col>
      <xdr:colOff>0</xdr:colOff>
      <xdr:row>32</xdr:row>
      <xdr:rowOff>76200</xdr:rowOff>
    </xdr:to>
    <xdr:sp macro="" textlink="">
      <xdr:nvSpPr>
        <xdr:cNvPr id="54661" name="Line 35">
          <a:extLst>
            <a:ext uri="{FF2B5EF4-FFF2-40B4-BE49-F238E27FC236}">
              <a16:creationId xmlns:a16="http://schemas.microsoft.com/office/drawing/2014/main" id="{E8776A3E-764B-43C4-915C-2D8EC4E6D1D4}"/>
            </a:ext>
          </a:extLst>
        </xdr:cNvPr>
        <xdr:cNvSpPr>
          <a:spLocks noChangeShapeType="1"/>
        </xdr:cNvSpPr>
      </xdr:nvSpPr>
      <xdr:spPr bwMode="auto">
        <a:xfrm flipV="1">
          <a:off x="2009775" y="127444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32</xdr:row>
      <xdr:rowOff>57150</xdr:rowOff>
    </xdr:from>
    <xdr:to>
      <xdr:col>22</xdr:col>
      <xdr:colOff>0</xdr:colOff>
      <xdr:row>32</xdr:row>
      <xdr:rowOff>57150</xdr:rowOff>
    </xdr:to>
    <xdr:sp macro="" textlink="">
      <xdr:nvSpPr>
        <xdr:cNvPr id="54662" name="Line 36">
          <a:extLst>
            <a:ext uri="{FF2B5EF4-FFF2-40B4-BE49-F238E27FC236}">
              <a16:creationId xmlns:a16="http://schemas.microsoft.com/office/drawing/2014/main" id="{AD84B7B9-882F-46FB-A14B-BA48114F2FEA}"/>
            </a:ext>
          </a:extLst>
        </xdr:cNvPr>
        <xdr:cNvSpPr>
          <a:spLocks noChangeShapeType="1"/>
        </xdr:cNvSpPr>
      </xdr:nvSpPr>
      <xdr:spPr bwMode="auto">
        <a:xfrm flipH="1">
          <a:off x="2009775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152400</xdr:rowOff>
    </xdr:from>
    <xdr:to>
      <xdr:col>22</xdr:col>
      <xdr:colOff>0</xdr:colOff>
      <xdr:row>30</xdr:row>
      <xdr:rowOff>66675</xdr:rowOff>
    </xdr:to>
    <xdr:sp macro="" textlink="">
      <xdr:nvSpPr>
        <xdr:cNvPr id="54663" name="Line 37">
          <a:extLst>
            <a:ext uri="{FF2B5EF4-FFF2-40B4-BE49-F238E27FC236}">
              <a16:creationId xmlns:a16="http://schemas.microsoft.com/office/drawing/2014/main" id="{3F233ABB-9F8B-47F7-B349-395138445E0C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28575</xdr:rowOff>
    </xdr:to>
    <xdr:sp macro="" textlink="">
      <xdr:nvSpPr>
        <xdr:cNvPr id="54664" name="Arc 38">
          <a:extLst>
            <a:ext uri="{FF2B5EF4-FFF2-40B4-BE49-F238E27FC236}">
              <a16:creationId xmlns:a16="http://schemas.microsoft.com/office/drawing/2014/main" id="{0F072EED-77E0-4531-9DDB-C2C5FFE089DF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47625</xdr:rowOff>
    </xdr:to>
    <xdr:sp macro="" textlink="">
      <xdr:nvSpPr>
        <xdr:cNvPr id="54665" name="Arc 39">
          <a:extLst>
            <a:ext uri="{FF2B5EF4-FFF2-40B4-BE49-F238E27FC236}">
              <a16:creationId xmlns:a16="http://schemas.microsoft.com/office/drawing/2014/main" id="{B7AD5846-C5FE-48D0-843A-B0111CBD6B4B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28575</xdr:rowOff>
    </xdr:from>
    <xdr:to>
      <xdr:col>24</xdr:col>
      <xdr:colOff>0</xdr:colOff>
      <xdr:row>30</xdr:row>
      <xdr:rowOff>85725</xdr:rowOff>
    </xdr:to>
    <xdr:sp macro="" textlink="">
      <xdr:nvSpPr>
        <xdr:cNvPr id="54666" name="Arc 40">
          <a:extLst>
            <a:ext uri="{FF2B5EF4-FFF2-40B4-BE49-F238E27FC236}">
              <a16:creationId xmlns:a16="http://schemas.microsoft.com/office/drawing/2014/main" id="{757FD4A5-20F1-45F4-989C-652AF7DADD64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58</xdr:row>
      <xdr:rowOff>28575</xdr:rowOff>
    </xdr:from>
    <xdr:to>
      <xdr:col>24</xdr:col>
      <xdr:colOff>0</xdr:colOff>
      <xdr:row>58</xdr:row>
      <xdr:rowOff>85725</xdr:rowOff>
    </xdr:to>
    <xdr:sp macro="" textlink="">
      <xdr:nvSpPr>
        <xdr:cNvPr id="54667" name="Line 41">
          <a:extLst>
            <a:ext uri="{FF2B5EF4-FFF2-40B4-BE49-F238E27FC236}">
              <a16:creationId xmlns:a16="http://schemas.microsoft.com/office/drawing/2014/main" id="{401ABB17-5C9A-49A3-99F9-E1592F94A1C6}"/>
            </a:ext>
          </a:extLst>
        </xdr:cNvPr>
        <xdr:cNvSpPr>
          <a:spLocks noChangeShapeType="1"/>
        </xdr:cNvSpPr>
      </xdr:nvSpPr>
      <xdr:spPr bwMode="auto">
        <a:xfrm flipH="1" flipV="1">
          <a:off x="2009775" y="25622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58</xdr:row>
      <xdr:rowOff>9525</xdr:rowOff>
    </xdr:from>
    <xdr:to>
      <xdr:col>24</xdr:col>
      <xdr:colOff>0</xdr:colOff>
      <xdr:row>58</xdr:row>
      <xdr:rowOff>76200</xdr:rowOff>
    </xdr:to>
    <xdr:sp macro="" textlink="">
      <xdr:nvSpPr>
        <xdr:cNvPr id="54668" name="Line 42">
          <a:extLst>
            <a:ext uri="{FF2B5EF4-FFF2-40B4-BE49-F238E27FC236}">
              <a16:creationId xmlns:a16="http://schemas.microsoft.com/office/drawing/2014/main" id="{7BA901F7-EFEF-48DB-B447-441EEC250F76}"/>
            </a:ext>
          </a:extLst>
        </xdr:cNvPr>
        <xdr:cNvSpPr>
          <a:spLocks noChangeShapeType="1"/>
        </xdr:cNvSpPr>
      </xdr:nvSpPr>
      <xdr:spPr bwMode="auto">
        <a:xfrm flipV="1">
          <a:off x="2009775" y="25431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58</xdr:row>
      <xdr:rowOff>57150</xdr:rowOff>
    </xdr:from>
    <xdr:to>
      <xdr:col>24</xdr:col>
      <xdr:colOff>0</xdr:colOff>
      <xdr:row>58</xdr:row>
      <xdr:rowOff>57150</xdr:rowOff>
    </xdr:to>
    <xdr:sp macro="" textlink="">
      <xdr:nvSpPr>
        <xdr:cNvPr id="54669" name="Line 43">
          <a:extLst>
            <a:ext uri="{FF2B5EF4-FFF2-40B4-BE49-F238E27FC236}">
              <a16:creationId xmlns:a16="http://schemas.microsoft.com/office/drawing/2014/main" id="{6713C5E0-1728-473E-A711-48F53C739179}"/>
            </a:ext>
          </a:extLst>
        </xdr:cNvPr>
        <xdr:cNvSpPr>
          <a:spLocks noChangeShapeType="1"/>
        </xdr:cNvSpPr>
      </xdr:nvSpPr>
      <xdr:spPr bwMode="auto">
        <a:xfrm flipH="1">
          <a:off x="2009775" y="259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152400</xdr:rowOff>
    </xdr:from>
    <xdr:to>
      <xdr:col>24</xdr:col>
      <xdr:colOff>0</xdr:colOff>
      <xdr:row>30</xdr:row>
      <xdr:rowOff>66675</xdr:rowOff>
    </xdr:to>
    <xdr:sp macro="" textlink="">
      <xdr:nvSpPr>
        <xdr:cNvPr id="54670" name="Line 44">
          <a:extLst>
            <a:ext uri="{FF2B5EF4-FFF2-40B4-BE49-F238E27FC236}">
              <a16:creationId xmlns:a16="http://schemas.microsoft.com/office/drawing/2014/main" id="{5B24F17B-26B5-45ED-8850-C3B0D66CE359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4671" name="Arc 81">
          <a:extLst>
            <a:ext uri="{FF2B5EF4-FFF2-40B4-BE49-F238E27FC236}">
              <a16:creationId xmlns:a16="http://schemas.microsoft.com/office/drawing/2014/main" id="{FA26E498-8FD6-4C44-B1B0-96E27B42E9D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4672" name="Arc 82">
          <a:extLst>
            <a:ext uri="{FF2B5EF4-FFF2-40B4-BE49-F238E27FC236}">
              <a16:creationId xmlns:a16="http://schemas.microsoft.com/office/drawing/2014/main" id="{E5DFE330-B0AF-49BB-A73F-B8EC48B20BE1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4673" name="Arc 83">
          <a:extLst>
            <a:ext uri="{FF2B5EF4-FFF2-40B4-BE49-F238E27FC236}">
              <a16:creationId xmlns:a16="http://schemas.microsoft.com/office/drawing/2014/main" id="{A88DBC24-2C08-4D6C-BB41-8FF0D618DED9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93</xdr:row>
      <xdr:rowOff>28575</xdr:rowOff>
    </xdr:from>
    <xdr:to>
      <xdr:col>18</xdr:col>
      <xdr:colOff>0</xdr:colOff>
      <xdr:row>93</xdr:row>
      <xdr:rowOff>85725</xdr:rowOff>
    </xdr:to>
    <xdr:sp macro="" textlink="">
      <xdr:nvSpPr>
        <xdr:cNvPr id="54674" name="Line 84">
          <a:extLst>
            <a:ext uri="{FF2B5EF4-FFF2-40B4-BE49-F238E27FC236}">
              <a16:creationId xmlns:a16="http://schemas.microsoft.com/office/drawing/2014/main" id="{0ACE74DE-D23B-4CC7-AC61-E94BF8F67A35}"/>
            </a:ext>
          </a:extLst>
        </xdr:cNvPr>
        <xdr:cNvSpPr>
          <a:spLocks noChangeShapeType="1"/>
        </xdr:cNvSpPr>
      </xdr:nvSpPr>
      <xdr:spPr bwMode="auto">
        <a:xfrm flipH="1" flipV="1">
          <a:off x="2009775" y="70961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93</xdr:row>
      <xdr:rowOff>9525</xdr:rowOff>
    </xdr:from>
    <xdr:to>
      <xdr:col>18</xdr:col>
      <xdr:colOff>0</xdr:colOff>
      <xdr:row>93</xdr:row>
      <xdr:rowOff>76200</xdr:rowOff>
    </xdr:to>
    <xdr:sp macro="" textlink="">
      <xdr:nvSpPr>
        <xdr:cNvPr id="54675" name="Line 85">
          <a:extLst>
            <a:ext uri="{FF2B5EF4-FFF2-40B4-BE49-F238E27FC236}">
              <a16:creationId xmlns:a16="http://schemas.microsoft.com/office/drawing/2014/main" id="{199987C5-1045-47DD-B448-42F915C86250}"/>
            </a:ext>
          </a:extLst>
        </xdr:cNvPr>
        <xdr:cNvSpPr>
          <a:spLocks noChangeShapeType="1"/>
        </xdr:cNvSpPr>
      </xdr:nvSpPr>
      <xdr:spPr bwMode="auto">
        <a:xfrm flipV="1">
          <a:off x="2009775" y="70770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93</xdr:row>
      <xdr:rowOff>57150</xdr:rowOff>
    </xdr:from>
    <xdr:to>
      <xdr:col>18</xdr:col>
      <xdr:colOff>0</xdr:colOff>
      <xdr:row>93</xdr:row>
      <xdr:rowOff>57150</xdr:rowOff>
    </xdr:to>
    <xdr:sp macro="" textlink="">
      <xdr:nvSpPr>
        <xdr:cNvPr id="54676" name="Line 86">
          <a:extLst>
            <a:ext uri="{FF2B5EF4-FFF2-40B4-BE49-F238E27FC236}">
              <a16:creationId xmlns:a16="http://schemas.microsoft.com/office/drawing/2014/main" id="{3892BA58-E18A-4FF2-912E-89182AC990BB}"/>
            </a:ext>
          </a:extLst>
        </xdr:cNvPr>
        <xdr:cNvSpPr>
          <a:spLocks noChangeShapeType="1"/>
        </xdr:cNvSpPr>
      </xdr:nvSpPr>
      <xdr:spPr bwMode="auto">
        <a:xfrm flipH="1">
          <a:off x="2009775" y="71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4677" name="Line 87">
          <a:extLst>
            <a:ext uri="{FF2B5EF4-FFF2-40B4-BE49-F238E27FC236}">
              <a16:creationId xmlns:a16="http://schemas.microsoft.com/office/drawing/2014/main" id="{B6B5FD8A-078A-49FE-8BCD-477A7D454D4B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28575</xdr:rowOff>
    </xdr:to>
    <xdr:sp macro="" textlink="">
      <xdr:nvSpPr>
        <xdr:cNvPr id="54678" name="Arc 88">
          <a:extLst>
            <a:ext uri="{FF2B5EF4-FFF2-40B4-BE49-F238E27FC236}">
              <a16:creationId xmlns:a16="http://schemas.microsoft.com/office/drawing/2014/main" id="{4778902A-9D9A-4E77-8C11-AD1A5E1F844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47625</xdr:rowOff>
    </xdr:to>
    <xdr:sp macro="" textlink="">
      <xdr:nvSpPr>
        <xdr:cNvPr id="54679" name="Arc 89">
          <a:extLst>
            <a:ext uri="{FF2B5EF4-FFF2-40B4-BE49-F238E27FC236}">
              <a16:creationId xmlns:a16="http://schemas.microsoft.com/office/drawing/2014/main" id="{4BBC2A9A-E4AF-4A3A-87FC-0A831B857A49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28575</xdr:rowOff>
    </xdr:from>
    <xdr:to>
      <xdr:col>20</xdr:col>
      <xdr:colOff>0</xdr:colOff>
      <xdr:row>30</xdr:row>
      <xdr:rowOff>85725</xdr:rowOff>
    </xdr:to>
    <xdr:sp macro="" textlink="">
      <xdr:nvSpPr>
        <xdr:cNvPr id="54680" name="Arc 90">
          <a:extLst>
            <a:ext uri="{FF2B5EF4-FFF2-40B4-BE49-F238E27FC236}">
              <a16:creationId xmlns:a16="http://schemas.microsoft.com/office/drawing/2014/main" id="{51FA75B5-2562-4C18-A17C-D1E12E6E889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64</xdr:row>
      <xdr:rowOff>28575</xdr:rowOff>
    </xdr:from>
    <xdr:to>
      <xdr:col>20</xdr:col>
      <xdr:colOff>0</xdr:colOff>
      <xdr:row>64</xdr:row>
      <xdr:rowOff>85725</xdr:rowOff>
    </xdr:to>
    <xdr:sp macro="" textlink="">
      <xdr:nvSpPr>
        <xdr:cNvPr id="54681" name="Line 91">
          <a:extLst>
            <a:ext uri="{FF2B5EF4-FFF2-40B4-BE49-F238E27FC236}">
              <a16:creationId xmlns:a16="http://schemas.microsoft.com/office/drawing/2014/main" id="{9241EA84-2E75-4799-A5C2-AE2AF0B342B7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13061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64</xdr:row>
      <xdr:rowOff>9525</xdr:rowOff>
    </xdr:from>
    <xdr:to>
      <xdr:col>20</xdr:col>
      <xdr:colOff>0</xdr:colOff>
      <xdr:row>64</xdr:row>
      <xdr:rowOff>76200</xdr:rowOff>
    </xdr:to>
    <xdr:sp macro="" textlink="">
      <xdr:nvSpPr>
        <xdr:cNvPr id="54682" name="Line 92">
          <a:extLst>
            <a:ext uri="{FF2B5EF4-FFF2-40B4-BE49-F238E27FC236}">
              <a16:creationId xmlns:a16="http://schemas.microsoft.com/office/drawing/2014/main" id="{78C95B26-8B0B-4401-BB78-43C2C7B63EE8}"/>
            </a:ext>
          </a:extLst>
        </xdr:cNvPr>
        <xdr:cNvSpPr>
          <a:spLocks noChangeShapeType="1"/>
        </xdr:cNvSpPr>
      </xdr:nvSpPr>
      <xdr:spPr bwMode="auto">
        <a:xfrm flipV="1">
          <a:off x="2009775" y="112871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64</xdr:row>
      <xdr:rowOff>57150</xdr:rowOff>
    </xdr:from>
    <xdr:to>
      <xdr:col>20</xdr:col>
      <xdr:colOff>0</xdr:colOff>
      <xdr:row>64</xdr:row>
      <xdr:rowOff>57150</xdr:rowOff>
    </xdr:to>
    <xdr:sp macro="" textlink="">
      <xdr:nvSpPr>
        <xdr:cNvPr id="54683" name="Line 93">
          <a:extLst>
            <a:ext uri="{FF2B5EF4-FFF2-40B4-BE49-F238E27FC236}">
              <a16:creationId xmlns:a16="http://schemas.microsoft.com/office/drawing/2014/main" id="{3E7526FF-8C76-4522-9EB3-6176CC1B3878}"/>
            </a:ext>
          </a:extLst>
        </xdr:cNvPr>
        <xdr:cNvSpPr>
          <a:spLocks noChangeShapeType="1"/>
        </xdr:cNvSpPr>
      </xdr:nvSpPr>
      <xdr:spPr bwMode="auto">
        <a:xfrm flipH="1">
          <a:off x="2009775" y="11334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152400</xdr:rowOff>
    </xdr:from>
    <xdr:to>
      <xdr:col>20</xdr:col>
      <xdr:colOff>0</xdr:colOff>
      <xdr:row>30</xdr:row>
      <xdr:rowOff>66675</xdr:rowOff>
    </xdr:to>
    <xdr:sp macro="" textlink="">
      <xdr:nvSpPr>
        <xdr:cNvPr id="54684" name="Line 94">
          <a:extLst>
            <a:ext uri="{FF2B5EF4-FFF2-40B4-BE49-F238E27FC236}">
              <a16:creationId xmlns:a16="http://schemas.microsoft.com/office/drawing/2014/main" id="{37545E47-6C94-4F37-A4AA-0AD3C9C87406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87</xdr:row>
      <xdr:rowOff>81915</xdr:rowOff>
    </xdr:from>
    <xdr:ext cx="1863139" cy="282770"/>
    <xdr:sp macro="" textlink="">
      <xdr:nvSpPr>
        <xdr:cNvPr id="7263" name="Text Box 95">
          <a:extLst>
            <a:ext uri="{FF2B5EF4-FFF2-40B4-BE49-F238E27FC236}">
              <a16:creationId xmlns:a16="http://schemas.microsoft.com/office/drawing/2014/main" id="{B205A722-2CD3-424C-8205-6F14D1DE2491}"/>
            </a:ext>
          </a:extLst>
        </xdr:cNvPr>
        <xdr:cNvSpPr txBox="1">
          <a:spLocks noChangeArrowheads="1"/>
        </xdr:cNvSpPr>
      </xdr:nvSpPr>
      <xdr:spPr bwMode="auto">
        <a:xfrm>
          <a:off x="1114425" y="10387965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28575</xdr:rowOff>
    </xdr:to>
    <xdr:sp macro="" textlink="">
      <xdr:nvSpPr>
        <xdr:cNvPr id="54686" name="Arc 96">
          <a:extLst>
            <a:ext uri="{FF2B5EF4-FFF2-40B4-BE49-F238E27FC236}">
              <a16:creationId xmlns:a16="http://schemas.microsoft.com/office/drawing/2014/main" id="{5AC6077E-0724-4091-8974-B4553E6F553C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47625</xdr:rowOff>
    </xdr:to>
    <xdr:sp macro="" textlink="">
      <xdr:nvSpPr>
        <xdr:cNvPr id="54687" name="Arc 97">
          <a:extLst>
            <a:ext uri="{FF2B5EF4-FFF2-40B4-BE49-F238E27FC236}">
              <a16:creationId xmlns:a16="http://schemas.microsoft.com/office/drawing/2014/main" id="{53858DFB-F929-44CF-8310-D8B9CA84CAD4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28575</xdr:rowOff>
    </xdr:from>
    <xdr:to>
      <xdr:col>22</xdr:col>
      <xdr:colOff>0</xdr:colOff>
      <xdr:row>30</xdr:row>
      <xdr:rowOff>85725</xdr:rowOff>
    </xdr:to>
    <xdr:sp macro="" textlink="">
      <xdr:nvSpPr>
        <xdr:cNvPr id="54688" name="Arc 98">
          <a:extLst>
            <a:ext uri="{FF2B5EF4-FFF2-40B4-BE49-F238E27FC236}">
              <a16:creationId xmlns:a16="http://schemas.microsoft.com/office/drawing/2014/main" id="{D6FC58D1-6CA1-4CAF-8AEC-C120C7602AC4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93</xdr:row>
      <xdr:rowOff>28575</xdr:rowOff>
    </xdr:from>
    <xdr:to>
      <xdr:col>22</xdr:col>
      <xdr:colOff>0</xdr:colOff>
      <xdr:row>93</xdr:row>
      <xdr:rowOff>85725</xdr:rowOff>
    </xdr:to>
    <xdr:sp macro="" textlink="">
      <xdr:nvSpPr>
        <xdr:cNvPr id="54689" name="Line 99">
          <a:extLst>
            <a:ext uri="{FF2B5EF4-FFF2-40B4-BE49-F238E27FC236}">
              <a16:creationId xmlns:a16="http://schemas.microsoft.com/office/drawing/2014/main" id="{8900C78A-9E68-440C-8746-31D44B33F6B5}"/>
            </a:ext>
          </a:extLst>
        </xdr:cNvPr>
        <xdr:cNvSpPr>
          <a:spLocks noChangeShapeType="1"/>
        </xdr:cNvSpPr>
      </xdr:nvSpPr>
      <xdr:spPr bwMode="auto">
        <a:xfrm flipH="1" flipV="1">
          <a:off x="2009775" y="70961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93</xdr:row>
      <xdr:rowOff>9525</xdr:rowOff>
    </xdr:from>
    <xdr:to>
      <xdr:col>22</xdr:col>
      <xdr:colOff>0</xdr:colOff>
      <xdr:row>93</xdr:row>
      <xdr:rowOff>76200</xdr:rowOff>
    </xdr:to>
    <xdr:sp macro="" textlink="">
      <xdr:nvSpPr>
        <xdr:cNvPr id="54690" name="Line 100">
          <a:extLst>
            <a:ext uri="{FF2B5EF4-FFF2-40B4-BE49-F238E27FC236}">
              <a16:creationId xmlns:a16="http://schemas.microsoft.com/office/drawing/2014/main" id="{2931189A-2B0E-414C-AC73-645B3ACEA7EF}"/>
            </a:ext>
          </a:extLst>
        </xdr:cNvPr>
        <xdr:cNvSpPr>
          <a:spLocks noChangeShapeType="1"/>
        </xdr:cNvSpPr>
      </xdr:nvSpPr>
      <xdr:spPr bwMode="auto">
        <a:xfrm flipV="1">
          <a:off x="2009775" y="70770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93</xdr:row>
      <xdr:rowOff>57150</xdr:rowOff>
    </xdr:from>
    <xdr:to>
      <xdr:col>22</xdr:col>
      <xdr:colOff>0</xdr:colOff>
      <xdr:row>93</xdr:row>
      <xdr:rowOff>57150</xdr:rowOff>
    </xdr:to>
    <xdr:sp macro="" textlink="">
      <xdr:nvSpPr>
        <xdr:cNvPr id="54691" name="Line 101">
          <a:extLst>
            <a:ext uri="{FF2B5EF4-FFF2-40B4-BE49-F238E27FC236}">
              <a16:creationId xmlns:a16="http://schemas.microsoft.com/office/drawing/2014/main" id="{367AEC42-B520-4ACD-B932-BCBEDB02961E}"/>
            </a:ext>
          </a:extLst>
        </xdr:cNvPr>
        <xdr:cNvSpPr>
          <a:spLocks noChangeShapeType="1"/>
        </xdr:cNvSpPr>
      </xdr:nvSpPr>
      <xdr:spPr bwMode="auto">
        <a:xfrm flipH="1">
          <a:off x="2009775" y="71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152400</xdr:rowOff>
    </xdr:from>
    <xdr:to>
      <xdr:col>22</xdr:col>
      <xdr:colOff>0</xdr:colOff>
      <xdr:row>30</xdr:row>
      <xdr:rowOff>66675</xdr:rowOff>
    </xdr:to>
    <xdr:sp macro="" textlink="">
      <xdr:nvSpPr>
        <xdr:cNvPr id="54692" name="Line 102">
          <a:extLst>
            <a:ext uri="{FF2B5EF4-FFF2-40B4-BE49-F238E27FC236}">
              <a16:creationId xmlns:a16="http://schemas.microsoft.com/office/drawing/2014/main" id="{E1CC9BC9-966A-452B-9413-93B0778B14AD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28575</xdr:rowOff>
    </xdr:to>
    <xdr:sp macro="" textlink="">
      <xdr:nvSpPr>
        <xdr:cNvPr id="54693" name="Arc 103">
          <a:extLst>
            <a:ext uri="{FF2B5EF4-FFF2-40B4-BE49-F238E27FC236}">
              <a16:creationId xmlns:a16="http://schemas.microsoft.com/office/drawing/2014/main" id="{1F61826E-811C-4927-9E32-524477D223F0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47625</xdr:rowOff>
    </xdr:to>
    <xdr:sp macro="" textlink="">
      <xdr:nvSpPr>
        <xdr:cNvPr id="54694" name="Arc 104">
          <a:extLst>
            <a:ext uri="{FF2B5EF4-FFF2-40B4-BE49-F238E27FC236}">
              <a16:creationId xmlns:a16="http://schemas.microsoft.com/office/drawing/2014/main" id="{A8C7D930-A9E9-4704-9BF1-E3A383080FC6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28575</xdr:rowOff>
    </xdr:from>
    <xdr:to>
      <xdr:col>24</xdr:col>
      <xdr:colOff>0</xdr:colOff>
      <xdr:row>30</xdr:row>
      <xdr:rowOff>85725</xdr:rowOff>
    </xdr:to>
    <xdr:sp macro="" textlink="">
      <xdr:nvSpPr>
        <xdr:cNvPr id="54695" name="Arc 105">
          <a:extLst>
            <a:ext uri="{FF2B5EF4-FFF2-40B4-BE49-F238E27FC236}">
              <a16:creationId xmlns:a16="http://schemas.microsoft.com/office/drawing/2014/main" id="{6963B582-A62C-46DB-BCE6-F3D91134CF6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27</xdr:row>
      <xdr:rowOff>28575</xdr:rowOff>
    </xdr:from>
    <xdr:to>
      <xdr:col>24</xdr:col>
      <xdr:colOff>0</xdr:colOff>
      <xdr:row>27</xdr:row>
      <xdr:rowOff>85725</xdr:rowOff>
    </xdr:to>
    <xdr:sp macro="" textlink="">
      <xdr:nvSpPr>
        <xdr:cNvPr id="54696" name="Line 106">
          <a:extLst>
            <a:ext uri="{FF2B5EF4-FFF2-40B4-BE49-F238E27FC236}">
              <a16:creationId xmlns:a16="http://schemas.microsoft.com/office/drawing/2014/main" id="{7DF60409-D64E-42E0-87EF-DC146F2C727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62865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27</xdr:row>
      <xdr:rowOff>9525</xdr:rowOff>
    </xdr:from>
    <xdr:to>
      <xdr:col>24</xdr:col>
      <xdr:colOff>0</xdr:colOff>
      <xdr:row>27</xdr:row>
      <xdr:rowOff>76200</xdr:rowOff>
    </xdr:to>
    <xdr:sp macro="" textlink="">
      <xdr:nvSpPr>
        <xdr:cNvPr id="54697" name="Line 107">
          <a:extLst>
            <a:ext uri="{FF2B5EF4-FFF2-40B4-BE49-F238E27FC236}">
              <a16:creationId xmlns:a16="http://schemas.microsoft.com/office/drawing/2014/main" id="{3A389691-238B-4EBD-AE20-DD621F2B0798}"/>
            </a:ext>
          </a:extLst>
        </xdr:cNvPr>
        <xdr:cNvSpPr>
          <a:spLocks noChangeShapeType="1"/>
        </xdr:cNvSpPr>
      </xdr:nvSpPr>
      <xdr:spPr bwMode="auto">
        <a:xfrm flipV="1">
          <a:off x="2009775" y="62674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27</xdr:row>
      <xdr:rowOff>57150</xdr:rowOff>
    </xdr:from>
    <xdr:to>
      <xdr:col>24</xdr:col>
      <xdr:colOff>0</xdr:colOff>
      <xdr:row>27</xdr:row>
      <xdr:rowOff>57150</xdr:rowOff>
    </xdr:to>
    <xdr:sp macro="" textlink="">
      <xdr:nvSpPr>
        <xdr:cNvPr id="54698" name="Line 108">
          <a:extLst>
            <a:ext uri="{FF2B5EF4-FFF2-40B4-BE49-F238E27FC236}">
              <a16:creationId xmlns:a16="http://schemas.microsoft.com/office/drawing/2014/main" id="{69B83E12-6F04-4F76-A436-50BF87E8D327}"/>
            </a:ext>
          </a:extLst>
        </xdr:cNvPr>
        <xdr:cNvSpPr>
          <a:spLocks noChangeShapeType="1"/>
        </xdr:cNvSpPr>
      </xdr:nvSpPr>
      <xdr:spPr bwMode="auto">
        <a:xfrm flipH="1">
          <a:off x="2009775" y="6315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152400</xdr:rowOff>
    </xdr:from>
    <xdr:to>
      <xdr:col>24</xdr:col>
      <xdr:colOff>0</xdr:colOff>
      <xdr:row>30</xdr:row>
      <xdr:rowOff>66675</xdr:rowOff>
    </xdr:to>
    <xdr:sp macro="" textlink="">
      <xdr:nvSpPr>
        <xdr:cNvPr id="54699" name="Line 109">
          <a:extLst>
            <a:ext uri="{FF2B5EF4-FFF2-40B4-BE49-F238E27FC236}">
              <a16:creationId xmlns:a16="http://schemas.microsoft.com/office/drawing/2014/main" id="{947297F9-0CE7-4F7D-AE41-D474A7990799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28575</xdr:rowOff>
    </xdr:to>
    <xdr:sp macro="" textlink="">
      <xdr:nvSpPr>
        <xdr:cNvPr id="54700" name="Arc 110">
          <a:extLst>
            <a:ext uri="{FF2B5EF4-FFF2-40B4-BE49-F238E27FC236}">
              <a16:creationId xmlns:a16="http://schemas.microsoft.com/office/drawing/2014/main" id="{A543A997-4AEE-4ADB-A788-BC1AC1EA8C4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47625</xdr:rowOff>
    </xdr:to>
    <xdr:sp macro="" textlink="">
      <xdr:nvSpPr>
        <xdr:cNvPr id="54701" name="Arc 111">
          <a:extLst>
            <a:ext uri="{FF2B5EF4-FFF2-40B4-BE49-F238E27FC236}">
              <a16:creationId xmlns:a16="http://schemas.microsoft.com/office/drawing/2014/main" id="{92318D50-0367-4DBF-8552-B0AEB9E9F5E3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28575</xdr:rowOff>
    </xdr:from>
    <xdr:to>
      <xdr:col>26</xdr:col>
      <xdr:colOff>0</xdr:colOff>
      <xdr:row>30</xdr:row>
      <xdr:rowOff>85725</xdr:rowOff>
    </xdr:to>
    <xdr:sp macro="" textlink="">
      <xdr:nvSpPr>
        <xdr:cNvPr id="54702" name="Arc 112">
          <a:extLst>
            <a:ext uri="{FF2B5EF4-FFF2-40B4-BE49-F238E27FC236}">
              <a16:creationId xmlns:a16="http://schemas.microsoft.com/office/drawing/2014/main" id="{9411D7B7-73BA-4099-A15D-D5C434FFDBFB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43</xdr:row>
      <xdr:rowOff>28575</xdr:rowOff>
    </xdr:from>
    <xdr:to>
      <xdr:col>26</xdr:col>
      <xdr:colOff>0</xdr:colOff>
      <xdr:row>43</xdr:row>
      <xdr:rowOff>85725</xdr:rowOff>
    </xdr:to>
    <xdr:sp macro="" textlink="">
      <xdr:nvSpPr>
        <xdr:cNvPr id="54703" name="Line 113">
          <a:extLst>
            <a:ext uri="{FF2B5EF4-FFF2-40B4-BE49-F238E27FC236}">
              <a16:creationId xmlns:a16="http://schemas.microsoft.com/office/drawing/2014/main" id="{468F4051-B010-40B5-80E8-BBAB40843F11}"/>
            </a:ext>
          </a:extLst>
        </xdr:cNvPr>
        <xdr:cNvSpPr>
          <a:spLocks noChangeShapeType="1"/>
        </xdr:cNvSpPr>
      </xdr:nvSpPr>
      <xdr:spPr bwMode="auto">
        <a:xfrm flipH="1" flipV="1">
          <a:off x="2009775" y="43434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43</xdr:row>
      <xdr:rowOff>9525</xdr:rowOff>
    </xdr:from>
    <xdr:to>
      <xdr:col>26</xdr:col>
      <xdr:colOff>0</xdr:colOff>
      <xdr:row>43</xdr:row>
      <xdr:rowOff>76200</xdr:rowOff>
    </xdr:to>
    <xdr:sp macro="" textlink="">
      <xdr:nvSpPr>
        <xdr:cNvPr id="54704" name="Line 114">
          <a:extLst>
            <a:ext uri="{FF2B5EF4-FFF2-40B4-BE49-F238E27FC236}">
              <a16:creationId xmlns:a16="http://schemas.microsoft.com/office/drawing/2014/main" id="{2EF3D0A5-A7E9-4BC7-B5F1-D11AD5E9751E}"/>
            </a:ext>
          </a:extLst>
        </xdr:cNvPr>
        <xdr:cNvSpPr>
          <a:spLocks noChangeShapeType="1"/>
        </xdr:cNvSpPr>
      </xdr:nvSpPr>
      <xdr:spPr bwMode="auto">
        <a:xfrm flipV="1">
          <a:off x="2009775" y="43243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43</xdr:row>
      <xdr:rowOff>57150</xdr:rowOff>
    </xdr:from>
    <xdr:to>
      <xdr:col>26</xdr:col>
      <xdr:colOff>0</xdr:colOff>
      <xdr:row>43</xdr:row>
      <xdr:rowOff>57150</xdr:rowOff>
    </xdr:to>
    <xdr:sp macro="" textlink="">
      <xdr:nvSpPr>
        <xdr:cNvPr id="54705" name="Line 115">
          <a:extLst>
            <a:ext uri="{FF2B5EF4-FFF2-40B4-BE49-F238E27FC236}">
              <a16:creationId xmlns:a16="http://schemas.microsoft.com/office/drawing/2014/main" id="{58699B50-6341-44A1-AA97-E86BC8B01F88}"/>
            </a:ext>
          </a:extLst>
        </xdr:cNvPr>
        <xdr:cNvSpPr>
          <a:spLocks noChangeShapeType="1"/>
        </xdr:cNvSpPr>
      </xdr:nvSpPr>
      <xdr:spPr bwMode="auto">
        <a:xfrm flipH="1">
          <a:off x="2009775" y="4371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152400</xdr:rowOff>
    </xdr:from>
    <xdr:to>
      <xdr:col>26</xdr:col>
      <xdr:colOff>0</xdr:colOff>
      <xdr:row>30</xdr:row>
      <xdr:rowOff>66675</xdr:rowOff>
    </xdr:to>
    <xdr:sp macro="" textlink="">
      <xdr:nvSpPr>
        <xdr:cNvPr id="54706" name="Line 116">
          <a:extLst>
            <a:ext uri="{FF2B5EF4-FFF2-40B4-BE49-F238E27FC236}">
              <a16:creationId xmlns:a16="http://schemas.microsoft.com/office/drawing/2014/main" id="{3C9897E9-F15F-41FE-9BE8-47C8CC1998C0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28575</xdr:rowOff>
    </xdr:to>
    <xdr:sp macro="" textlink="">
      <xdr:nvSpPr>
        <xdr:cNvPr id="54707" name="Arc 117">
          <a:extLst>
            <a:ext uri="{FF2B5EF4-FFF2-40B4-BE49-F238E27FC236}">
              <a16:creationId xmlns:a16="http://schemas.microsoft.com/office/drawing/2014/main" id="{2F67327D-3A50-438C-A3C7-4E4ECDD66174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47625</xdr:rowOff>
    </xdr:to>
    <xdr:sp macro="" textlink="">
      <xdr:nvSpPr>
        <xdr:cNvPr id="54708" name="Arc 118">
          <a:extLst>
            <a:ext uri="{FF2B5EF4-FFF2-40B4-BE49-F238E27FC236}">
              <a16:creationId xmlns:a16="http://schemas.microsoft.com/office/drawing/2014/main" id="{DE4D47EA-210C-43FA-9BCF-C70028A14994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28575</xdr:rowOff>
    </xdr:from>
    <xdr:to>
      <xdr:col>28</xdr:col>
      <xdr:colOff>0</xdr:colOff>
      <xdr:row>30</xdr:row>
      <xdr:rowOff>85725</xdr:rowOff>
    </xdr:to>
    <xdr:sp macro="" textlink="">
      <xdr:nvSpPr>
        <xdr:cNvPr id="54709" name="Arc 119">
          <a:extLst>
            <a:ext uri="{FF2B5EF4-FFF2-40B4-BE49-F238E27FC236}">
              <a16:creationId xmlns:a16="http://schemas.microsoft.com/office/drawing/2014/main" id="{16801BD2-656F-4DE3-B412-F08C8CB3822C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47</xdr:row>
      <xdr:rowOff>28575</xdr:rowOff>
    </xdr:from>
    <xdr:to>
      <xdr:col>28</xdr:col>
      <xdr:colOff>0</xdr:colOff>
      <xdr:row>47</xdr:row>
      <xdr:rowOff>85725</xdr:rowOff>
    </xdr:to>
    <xdr:sp macro="" textlink="">
      <xdr:nvSpPr>
        <xdr:cNvPr id="54710" name="Line 120">
          <a:extLst>
            <a:ext uri="{FF2B5EF4-FFF2-40B4-BE49-F238E27FC236}">
              <a16:creationId xmlns:a16="http://schemas.microsoft.com/office/drawing/2014/main" id="{4B25E231-D1F8-490F-89BD-C7EBEE7A3F4B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3543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47</xdr:row>
      <xdr:rowOff>9525</xdr:rowOff>
    </xdr:from>
    <xdr:to>
      <xdr:col>28</xdr:col>
      <xdr:colOff>0</xdr:colOff>
      <xdr:row>47</xdr:row>
      <xdr:rowOff>76200</xdr:rowOff>
    </xdr:to>
    <xdr:sp macro="" textlink="">
      <xdr:nvSpPr>
        <xdr:cNvPr id="54711" name="Line 121">
          <a:extLst>
            <a:ext uri="{FF2B5EF4-FFF2-40B4-BE49-F238E27FC236}">
              <a16:creationId xmlns:a16="http://schemas.microsoft.com/office/drawing/2014/main" id="{E115710B-3924-436C-8133-2485C52B1528}"/>
            </a:ext>
          </a:extLst>
        </xdr:cNvPr>
        <xdr:cNvSpPr>
          <a:spLocks noChangeShapeType="1"/>
        </xdr:cNvSpPr>
      </xdr:nvSpPr>
      <xdr:spPr bwMode="auto">
        <a:xfrm flipV="1">
          <a:off x="2009775" y="153352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47</xdr:row>
      <xdr:rowOff>57150</xdr:rowOff>
    </xdr:from>
    <xdr:to>
      <xdr:col>28</xdr:col>
      <xdr:colOff>0</xdr:colOff>
      <xdr:row>47</xdr:row>
      <xdr:rowOff>57150</xdr:rowOff>
    </xdr:to>
    <xdr:sp macro="" textlink="">
      <xdr:nvSpPr>
        <xdr:cNvPr id="54712" name="Line 122">
          <a:extLst>
            <a:ext uri="{FF2B5EF4-FFF2-40B4-BE49-F238E27FC236}">
              <a16:creationId xmlns:a16="http://schemas.microsoft.com/office/drawing/2014/main" id="{92F4EEB2-3C42-4E80-A80D-E1D95DBB479B}"/>
            </a:ext>
          </a:extLst>
        </xdr:cNvPr>
        <xdr:cNvSpPr>
          <a:spLocks noChangeShapeType="1"/>
        </xdr:cNvSpPr>
      </xdr:nvSpPr>
      <xdr:spPr bwMode="auto">
        <a:xfrm flipH="1">
          <a:off x="2009775" y="1538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152400</xdr:rowOff>
    </xdr:from>
    <xdr:to>
      <xdr:col>28</xdr:col>
      <xdr:colOff>0</xdr:colOff>
      <xdr:row>30</xdr:row>
      <xdr:rowOff>66675</xdr:rowOff>
    </xdr:to>
    <xdr:sp macro="" textlink="">
      <xdr:nvSpPr>
        <xdr:cNvPr id="54713" name="Line 123">
          <a:extLst>
            <a:ext uri="{FF2B5EF4-FFF2-40B4-BE49-F238E27FC236}">
              <a16:creationId xmlns:a16="http://schemas.microsoft.com/office/drawing/2014/main" id="{1F81726A-1A75-4956-8CCA-732A756195C8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4714" name="Arc 124">
          <a:extLst>
            <a:ext uri="{FF2B5EF4-FFF2-40B4-BE49-F238E27FC236}">
              <a16:creationId xmlns:a16="http://schemas.microsoft.com/office/drawing/2014/main" id="{E897B006-A22D-4EC5-8BEA-6FB84E33042D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4715" name="Arc 125">
          <a:extLst>
            <a:ext uri="{FF2B5EF4-FFF2-40B4-BE49-F238E27FC236}">
              <a16:creationId xmlns:a16="http://schemas.microsoft.com/office/drawing/2014/main" id="{31EDE929-DF6B-47A8-8B29-470E616CBAFA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4716" name="Arc 126">
          <a:extLst>
            <a:ext uri="{FF2B5EF4-FFF2-40B4-BE49-F238E27FC236}">
              <a16:creationId xmlns:a16="http://schemas.microsoft.com/office/drawing/2014/main" id="{D803C9D1-D8A0-4B0A-B89B-5920AD20FADA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68</xdr:row>
      <xdr:rowOff>28575</xdr:rowOff>
    </xdr:from>
    <xdr:to>
      <xdr:col>18</xdr:col>
      <xdr:colOff>0</xdr:colOff>
      <xdr:row>68</xdr:row>
      <xdr:rowOff>85725</xdr:rowOff>
    </xdr:to>
    <xdr:sp macro="" textlink="">
      <xdr:nvSpPr>
        <xdr:cNvPr id="54717" name="Line 127">
          <a:extLst>
            <a:ext uri="{FF2B5EF4-FFF2-40B4-BE49-F238E27FC236}">
              <a16:creationId xmlns:a16="http://schemas.microsoft.com/office/drawing/2014/main" id="{038685C0-72CF-4173-916E-F1DA11A9DE5A}"/>
            </a:ext>
          </a:extLst>
        </xdr:cNvPr>
        <xdr:cNvSpPr>
          <a:spLocks noChangeShapeType="1"/>
        </xdr:cNvSpPr>
      </xdr:nvSpPr>
      <xdr:spPr bwMode="auto">
        <a:xfrm flipH="1" flipV="1">
          <a:off x="200977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68</xdr:row>
      <xdr:rowOff>9525</xdr:rowOff>
    </xdr:from>
    <xdr:to>
      <xdr:col>18</xdr:col>
      <xdr:colOff>0</xdr:colOff>
      <xdr:row>68</xdr:row>
      <xdr:rowOff>76200</xdr:rowOff>
    </xdr:to>
    <xdr:sp macro="" textlink="">
      <xdr:nvSpPr>
        <xdr:cNvPr id="54718" name="Line 128">
          <a:extLst>
            <a:ext uri="{FF2B5EF4-FFF2-40B4-BE49-F238E27FC236}">
              <a16:creationId xmlns:a16="http://schemas.microsoft.com/office/drawing/2014/main" id="{ECCC4F53-424A-4113-B9B3-1303E4A05F62}"/>
            </a:ext>
          </a:extLst>
        </xdr:cNvPr>
        <xdr:cNvSpPr>
          <a:spLocks noChangeShapeType="1"/>
        </xdr:cNvSpPr>
      </xdr:nvSpPr>
      <xdr:spPr bwMode="auto">
        <a:xfrm flipV="1">
          <a:off x="200977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68</xdr:row>
      <xdr:rowOff>57150</xdr:rowOff>
    </xdr:from>
    <xdr:to>
      <xdr:col>18</xdr:col>
      <xdr:colOff>0</xdr:colOff>
      <xdr:row>68</xdr:row>
      <xdr:rowOff>57150</xdr:rowOff>
    </xdr:to>
    <xdr:sp macro="" textlink="">
      <xdr:nvSpPr>
        <xdr:cNvPr id="54719" name="Line 129">
          <a:extLst>
            <a:ext uri="{FF2B5EF4-FFF2-40B4-BE49-F238E27FC236}">
              <a16:creationId xmlns:a16="http://schemas.microsoft.com/office/drawing/2014/main" id="{ABE86078-2180-41B6-8731-D43573F276B3}"/>
            </a:ext>
          </a:extLst>
        </xdr:cNvPr>
        <xdr:cNvSpPr>
          <a:spLocks noChangeShapeType="1"/>
        </xdr:cNvSpPr>
      </xdr:nvSpPr>
      <xdr:spPr bwMode="auto">
        <a:xfrm flipH="1">
          <a:off x="200977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4720" name="Line 130">
          <a:extLst>
            <a:ext uri="{FF2B5EF4-FFF2-40B4-BE49-F238E27FC236}">
              <a16:creationId xmlns:a16="http://schemas.microsoft.com/office/drawing/2014/main" id="{D3011D56-E21B-4276-B980-8DB3BC2868F0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28575</xdr:rowOff>
    </xdr:to>
    <xdr:sp macro="" textlink="">
      <xdr:nvSpPr>
        <xdr:cNvPr id="54721" name="Arc 131">
          <a:extLst>
            <a:ext uri="{FF2B5EF4-FFF2-40B4-BE49-F238E27FC236}">
              <a16:creationId xmlns:a16="http://schemas.microsoft.com/office/drawing/2014/main" id="{1C27390B-804B-43D7-A1AF-780916128BE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47625</xdr:rowOff>
    </xdr:to>
    <xdr:sp macro="" textlink="">
      <xdr:nvSpPr>
        <xdr:cNvPr id="54722" name="Arc 132">
          <a:extLst>
            <a:ext uri="{FF2B5EF4-FFF2-40B4-BE49-F238E27FC236}">
              <a16:creationId xmlns:a16="http://schemas.microsoft.com/office/drawing/2014/main" id="{4032C65E-D2C1-45C3-ADAB-596BE5A402AE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28575</xdr:rowOff>
    </xdr:from>
    <xdr:to>
      <xdr:col>20</xdr:col>
      <xdr:colOff>0</xdr:colOff>
      <xdr:row>30</xdr:row>
      <xdr:rowOff>85725</xdr:rowOff>
    </xdr:to>
    <xdr:sp macro="" textlink="">
      <xdr:nvSpPr>
        <xdr:cNvPr id="54723" name="Arc 133">
          <a:extLst>
            <a:ext uri="{FF2B5EF4-FFF2-40B4-BE49-F238E27FC236}">
              <a16:creationId xmlns:a16="http://schemas.microsoft.com/office/drawing/2014/main" id="{56576A09-484B-48F1-93CD-B527D4E9E7C2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70</xdr:row>
      <xdr:rowOff>28575</xdr:rowOff>
    </xdr:from>
    <xdr:to>
      <xdr:col>20</xdr:col>
      <xdr:colOff>0</xdr:colOff>
      <xdr:row>70</xdr:row>
      <xdr:rowOff>85725</xdr:rowOff>
    </xdr:to>
    <xdr:sp macro="" textlink="">
      <xdr:nvSpPr>
        <xdr:cNvPr id="54724" name="Line 134">
          <a:extLst>
            <a:ext uri="{FF2B5EF4-FFF2-40B4-BE49-F238E27FC236}">
              <a16:creationId xmlns:a16="http://schemas.microsoft.com/office/drawing/2014/main" id="{C0B33C0E-90AD-498A-BA42-83A432482488}"/>
            </a:ext>
          </a:extLst>
        </xdr:cNvPr>
        <xdr:cNvSpPr>
          <a:spLocks noChangeShapeType="1"/>
        </xdr:cNvSpPr>
      </xdr:nvSpPr>
      <xdr:spPr bwMode="auto">
        <a:xfrm flipH="1" flipV="1">
          <a:off x="2009775" y="69342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70</xdr:row>
      <xdr:rowOff>9525</xdr:rowOff>
    </xdr:from>
    <xdr:to>
      <xdr:col>20</xdr:col>
      <xdr:colOff>0</xdr:colOff>
      <xdr:row>70</xdr:row>
      <xdr:rowOff>76200</xdr:rowOff>
    </xdr:to>
    <xdr:sp macro="" textlink="">
      <xdr:nvSpPr>
        <xdr:cNvPr id="54725" name="Line 135">
          <a:extLst>
            <a:ext uri="{FF2B5EF4-FFF2-40B4-BE49-F238E27FC236}">
              <a16:creationId xmlns:a16="http://schemas.microsoft.com/office/drawing/2014/main" id="{FFAF5887-0213-4012-BF80-A0EBA05C4182}"/>
            </a:ext>
          </a:extLst>
        </xdr:cNvPr>
        <xdr:cNvSpPr>
          <a:spLocks noChangeShapeType="1"/>
        </xdr:cNvSpPr>
      </xdr:nvSpPr>
      <xdr:spPr bwMode="auto">
        <a:xfrm flipV="1">
          <a:off x="2009775" y="69151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70</xdr:row>
      <xdr:rowOff>57150</xdr:rowOff>
    </xdr:from>
    <xdr:to>
      <xdr:col>20</xdr:col>
      <xdr:colOff>0</xdr:colOff>
      <xdr:row>70</xdr:row>
      <xdr:rowOff>57150</xdr:rowOff>
    </xdr:to>
    <xdr:sp macro="" textlink="">
      <xdr:nvSpPr>
        <xdr:cNvPr id="54726" name="Line 136">
          <a:extLst>
            <a:ext uri="{FF2B5EF4-FFF2-40B4-BE49-F238E27FC236}">
              <a16:creationId xmlns:a16="http://schemas.microsoft.com/office/drawing/2014/main" id="{2C967936-330B-4CE9-B90F-9394EA01A59A}"/>
            </a:ext>
          </a:extLst>
        </xdr:cNvPr>
        <xdr:cNvSpPr>
          <a:spLocks noChangeShapeType="1"/>
        </xdr:cNvSpPr>
      </xdr:nvSpPr>
      <xdr:spPr bwMode="auto">
        <a:xfrm flipH="1">
          <a:off x="2009775" y="6962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152400</xdr:rowOff>
    </xdr:from>
    <xdr:to>
      <xdr:col>20</xdr:col>
      <xdr:colOff>0</xdr:colOff>
      <xdr:row>30</xdr:row>
      <xdr:rowOff>66675</xdr:rowOff>
    </xdr:to>
    <xdr:sp macro="" textlink="">
      <xdr:nvSpPr>
        <xdr:cNvPr id="54727" name="Line 137">
          <a:extLst>
            <a:ext uri="{FF2B5EF4-FFF2-40B4-BE49-F238E27FC236}">
              <a16:creationId xmlns:a16="http://schemas.microsoft.com/office/drawing/2014/main" id="{62C186F3-B522-41B1-A244-F93CBE7CC3CA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87</xdr:row>
      <xdr:rowOff>81915</xdr:rowOff>
    </xdr:from>
    <xdr:ext cx="1863139" cy="282770"/>
    <xdr:sp macro="" textlink="">
      <xdr:nvSpPr>
        <xdr:cNvPr id="7306" name="Text Box 138">
          <a:extLst>
            <a:ext uri="{FF2B5EF4-FFF2-40B4-BE49-F238E27FC236}">
              <a16:creationId xmlns:a16="http://schemas.microsoft.com/office/drawing/2014/main" id="{168E7B86-A386-4452-8075-08A4BE2CF7EE}"/>
            </a:ext>
          </a:extLst>
        </xdr:cNvPr>
        <xdr:cNvSpPr txBox="1">
          <a:spLocks noChangeArrowheads="1"/>
        </xdr:cNvSpPr>
      </xdr:nvSpPr>
      <xdr:spPr bwMode="auto">
        <a:xfrm>
          <a:off x="1114425" y="10387965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28575</xdr:rowOff>
    </xdr:to>
    <xdr:sp macro="" textlink="">
      <xdr:nvSpPr>
        <xdr:cNvPr id="54729" name="Arc 139">
          <a:extLst>
            <a:ext uri="{FF2B5EF4-FFF2-40B4-BE49-F238E27FC236}">
              <a16:creationId xmlns:a16="http://schemas.microsoft.com/office/drawing/2014/main" id="{7C0771C6-FBDC-41B6-AC65-14712C981651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47625</xdr:rowOff>
    </xdr:to>
    <xdr:sp macro="" textlink="">
      <xdr:nvSpPr>
        <xdr:cNvPr id="54730" name="Arc 140">
          <a:extLst>
            <a:ext uri="{FF2B5EF4-FFF2-40B4-BE49-F238E27FC236}">
              <a16:creationId xmlns:a16="http://schemas.microsoft.com/office/drawing/2014/main" id="{3F69F974-C910-4B4A-9741-4218D0FDE7DF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28575</xdr:rowOff>
    </xdr:from>
    <xdr:to>
      <xdr:col>22</xdr:col>
      <xdr:colOff>0</xdr:colOff>
      <xdr:row>30</xdr:row>
      <xdr:rowOff>85725</xdr:rowOff>
    </xdr:to>
    <xdr:sp macro="" textlink="">
      <xdr:nvSpPr>
        <xdr:cNvPr id="54731" name="Arc 141">
          <a:extLst>
            <a:ext uri="{FF2B5EF4-FFF2-40B4-BE49-F238E27FC236}">
              <a16:creationId xmlns:a16="http://schemas.microsoft.com/office/drawing/2014/main" id="{194DBE8F-0609-453D-814F-F802393494B3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28575</xdr:rowOff>
    </xdr:from>
    <xdr:to>
      <xdr:col>22</xdr:col>
      <xdr:colOff>0</xdr:colOff>
      <xdr:row>68</xdr:row>
      <xdr:rowOff>85725</xdr:rowOff>
    </xdr:to>
    <xdr:sp macro="" textlink="">
      <xdr:nvSpPr>
        <xdr:cNvPr id="54732" name="Line 142">
          <a:extLst>
            <a:ext uri="{FF2B5EF4-FFF2-40B4-BE49-F238E27FC236}">
              <a16:creationId xmlns:a16="http://schemas.microsoft.com/office/drawing/2014/main" id="{B401BF29-51C8-4D29-98DC-107827BE5046}"/>
            </a:ext>
          </a:extLst>
        </xdr:cNvPr>
        <xdr:cNvSpPr>
          <a:spLocks noChangeShapeType="1"/>
        </xdr:cNvSpPr>
      </xdr:nvSpPr>
      <xdr:spPr bwMode="auto">
        <a:xfrm flipH="1" flipV="1">
          <a:off x="200977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9525</xdr:rowOff>
    </xdr:from>
    <xdr:to>
      <xdr:col>22</xdr:col>
      <xdr:colOff>0</xdr:colOff>
      <xdr:row>68</xdr:row>
      <xdr:rowOff>76200</xdr:rowOff>
    </xdr:to>
    <xdr:sp macro="" textlink="">
      <xdr:nvSpPr>
        <xdr:cNvPr id="54733" name="Line 143">
          <a:extLst>
            <a:ext uri="{FF2B5EF4-FFF2-40B4-BE49-F238E27FC236}">
              <a16:creationId xmlns:a16="http://schemas.microsoft.com/office/drawing/2014/main" id="{0A320A3E-8046-4FD3-A07E-9EA9F80FA3B0}"/>
            </a:ext>
          </a:extLst>
        </xdr:cNvPr>
        <xdr:cNvSpPr>
          <a:spLocks noChangeShapeType="1"/>
        </xdr:cNvSpPr>
      </xdr:nvSpPr>
      <xdr:spPr bwMode="auto">
        <a:xfrm flipV="1">
          <a:off x="200977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57150</xdr:rowOff>
    </xdr:from>
    <xdr:to>
      <xdr:col>22</xdr:col>
      <xdr:colOff>0</xdr:colOff>
      <xdr:row>68</xdr:row>
      <xdr:rowOff>57150</xdr:rowOff>
    </xdr:to>
    <xdr:sp macro="" textlink="">
      <xdr:nvSpPr>
        <xdr:cNvPr id="54734" name="Line 144">
          <a:extLst>
            <a:ext uri="{FF2B5EF4-FFF2-40B4-BE49-F238E27FC236}">
              <a16:creationId xmlns:a16="http://schemas.microsoft.com/office/drawing/2014/main" id="{29BBD495-DDB4-4F28-A595-81967251C0F8}"/>
            </a:ext>
          </a:extLst>
        </xdr:cNvPr>
        <xdr:cNvSpPr>
          <a:spLocks noChangeShapeType="1"/>
        </xdr:cNvSpPr>
      </xdr:nvSpPr>
      <xdr:spPr bwMode="auto">
        <a:xfrm flipH="1">
          <a:off x="200977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152400</xdr:rowOff>
    </xdr:from>
    <xdr:to>
      <xdr:col>22</xdr:col>
      <xdr:colOff>0</xdr:colOff>
      <xdr:row>30</xdr:row>
      <xdr:rowOff>66675</xdr:rowOff>
    </xdr:to>
    <xdr:sp macro="" textlink="">
      <xdr:nvSpPr>
        <xdr:cNvPr id="54735" name="Line 145">
          <a:extLst>
            <a:ext uri="{FF2B5EF4-FFF2-40B4-BE49-F238E27FC236}">
              <a16:creationId xmlns:a16="http://schemas.microsoft.com/office/drawing/2014/main" id="{B0E34DD3-9E7D-411B-ADFE-69BE5D2AE007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28575</xdr:rowOff>
    </xdr:to>
    <xdr:sp macro="" textlink="">
      <xdr:nvSpPr>
        <xdr:cNvPr id="54736" name="Arc 146">
          <a:extLst>
            <a:ext uri="{FF2B5EF4-FFF2-40B4-BE49-F238E27FC236}">
              <a16:creationId xmlns:a16="http://schemas.microsoft.com/office/drawing/2014/main" id="{9C438D89-2274-4169-8D92-AE9C90C04296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47625</xdr:rowOff>
    </xdr:to>
    <xdr:sp macro="" textlink="">
      <xdr:nvSpPr>
        <xdr:cNvPr id="54737" name="Arc 147">
          <a:extLst>
            <a:ext uri="{FF2B5EF4-FFF2-40B4-BE49-F238E27FC236}">
              <a16:creationId xmlns:a16="http://schemas.microsoft.com/office/drawing/2014/main" id="{8F17D207-D770-43B9-83DD-6CEBC0CDC45D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28575</xdr:rowOff>
    </xdr:from>
    <xdr:to>
      <xdr:col>24</xdr:col>
      <xdr:colOff>0</xdr:colOff>
      <xdr:row>30</xdr:row>
      <xdr:rowOff>85725</xdr:rowOff>
    </xdr:to>
    <xdr:sp macro="" textlink="">
      <xdr:nvSpPr>
        <xdr:cNvPr id="54738" name="Arc 148">
          <a:extLst>
            <a:ext uri="{FF2B5EF4-FFF2-40B4-BE49-F238E27FC236}">
              <a16:creationId xmlns:a16="http://schemas.microsoft.com/office/drawing/2014/main" id="{C629BEB3-6010-4123-893E-71D90702B1C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100</xdr:row>
      <xdr:rowOff>28575</xdr:rowOff>
    </xdr:from>
    <xdr:to>
      <xdr:col>24</xdr:col>
      <xdr:colOff>0</xdr:colOff>
      <xdr:row>100</xdr:row>
      <xdr:rowOff>85725</xdr:rowOff>
    </xdr:to>
    <xdr:sp macro="" textlink="">
      <xdr:nvSpPr>
        <xdr:cNvPr id="54739" name="Line 149">
          <a:extLst>
            <a:ext uri="{FF2B5EF4-FFF2-40B4-BE49-F238E27FC236}">
              <a16:creationId xmlns:a16="http://schemas.microsoft.com/office/drawing/2014/main" id="{60ECFCE9-6D6C-44C7-A91A-06E3BBE9DC26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19538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100</xdr:row>
      <xdr:rowOff>9525</xdr:rowOff>
    </xdr:from>
    <xdr:to>
      <xdr:col>24</xdr:col>
      <xdr:colOff>0</xdr:colOff>
      <xdr:row>100</xdr:row>
      <xdr:rowOff>76200</xdr:rowOff>
    </xdr:to>
    <xdr:sp macro="" textlink="">
      <xdr:nvSpPr>
        <xdr:cNvPr id="54740" name="Line 150">
          <a:extLst>
            <a:ext uri="{FF2B5EF4-FFF2-40B4-BE49-F238E27FC236}">
              <a16:creationId xmlns:a16="http://schemas.microsoft.com/office/drawing/2014/main" id="{A2183D23-D93F-4C35-8D15-7FD7E77C7143}"/>
            </a:ext>
          </a:extLst>
        </xdr:cNvPr>
        <xdr:cNvSpPr>
          <a:spLocks noChangeShapeType="1"/>
        </xdr:cNvSpPr>
      </xdr:nvSpPr>
      <xdr:spPr bwMode="auto">
        <a:xfrm flipV="1">
          <a:off x="2009775" y="119348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100</xdr:row>
      <xdr:rowOff>57150</xdr:rowOff>
    </xdr:from>
    <xdr:to>
      <xdr:col>24</xdr:col>
      <xdr:colOff>0</xdr:colOff>
      <xdr:row>100</xdr:row>
      <xdr:rowOff>57150</xdr:rowOff>
    </xdr:to>
    <xdr:sp macro="" textlink="">
      <xdr:nvSpPr>
        <xdr:cNvPr id="54741" name="Line 151">
          <a:extLst>
            <a:ext uri="{FF2B5EF4-FFF2-40B4-BE49-F238E27FC236}">
              <a16:creationId xmlns:a16="http://schemas.microsoft.com/office/drawing/2014/main" id="{6BA04A0E-B1D3-47E6-A15F-6C5B838B43FA}"/>
            </a:ext>
          </a:extLst>
        </xdr:cNvPr>
        <xdr:cNvSpPr>
          <a:spLocks noChangeShapeType="1"/>
        </xdr:cNvSpPr>
      </xdr:nvSpPr>
      <xdr:spPr bwMode="auto">
        <a:xfrm flipH="1">
          <a:off x="2009775" y="11982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152400</xdr:rowOff>
    </xdr:from>
    <xdr:to>
      <xdr:col>24</xdr:col>
      <xdr:colOff>0</xdr:colOff>
      <xdr:row>30</xdr:row>
      <xdr:rowOff>66675</xdr:rowOff>
    </xdr:to>
    <xdr:sp macro="" textlink="">
      <xdr:nvSpPr>
        <xdr:cNvPr id="54742" name="Line 152">
          <a:extLst>
            <a:ext uri="{FF2B5EF4-FFF2-40B4-BE49-F238E27FC236}">
              <a16:creationId xmlns:a16="http://schemas.microsoft.com/office/drawing/2014/main" id="{79D2E088-4848-4C3D-A256-8D57B94E5195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28575</xdr:rowOff>
    </xdr:to>
    <xdr:sp macro="" textlink="">
      <xdr:nvSpPr>
        <xdr:cNvPr id="54743" name="Arc 153">
          <a:extLst>
            <a:ext uri="{FF2B5EF4-FFF2-40B4-BE49-F238E27FC236}">
              <a16:creationId xmlns:a16="http://schemas.microsoft.com/office/drawing/2014/main" id="{9F224306-1B16-4B9A-8E73-D90843E1CCBD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47625</xdr:rowOff>
    </xdr:to>
    <xdr:sp macro="" textlink="">
      <xdr:nvSpPr>
        <xdr:cNvPr id="54744" name="Arc 154">
          <a:extLst>
            <a:ext uri="{FF2B5EF4-FFF2-40B4-BE49-F238E27FC236}">
              <a16:creationId xmlns:a16="http://schemas.microsoft.com/office/drawing/2014/main" id="{9CD51C97-FCAB-43BC-89E1-847D453FAD35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28575</xdr:rowOff>
    </xdr:from>
    <xdr:to>
      <xdr:col>26</xdr:col>
      <xdr:colOff>0</xdr:colOff>
      <xdr:row>30</xdr:row>
      <xdr:rowOff>85725</xdr:rowOff>
    </xdr:to>
    <xdr:sp macro="" textlink="">
      <xdr:nvSpPr>
        <xdr:cNvPr id="54745" name="Arc 155">
          <a:extLst>
            <a:ext uri="{FF2B5EF4-FFF2-40B4-BE49-F238E27FC236}">
              <a16:creationId xmlns:a16="http://schemas.microsoft.com/office/drawing/2014/main" id="{2927302D-8DC2-40C9-974B-A28049A9BFF4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8</xdr:row>
      <xdr:rowOff>28575</xdr:rowOff>
    </xdr:from>
    <xdr:to>
      <xdr:col>26</xdr:col>
      <xdr:colOff>0</xdr:colOff>
      <xdr:row>8</xdr:row>
      <xdr:rowOff>85725</xdr:rowOff>
    </xdr:to>
    <xdr:sp macro="" textlink="">
      <xdr:nvSpPr>
        <xdr:cNvPr id="54746" name="Line 156">
          <a:extLst>
            <a:ext uri="{FF2B5EF4-FFF2-40B4-BE49-F238E27FC236}">
              <a16:creationId xmlns:a16="http://schemas.microsoft.com/office/drawing/2014/main" id="{D13A2DF7-D0EB-449F-A263-D42C8B22BBB8}"/>
            </a:ext>
          </a:extLst>
        </xdr:cNvPr>
        <xdr:cNvSpPr>
          <a:spLocks noChangeShapeType="1"/>
        </xdr:cNvSpPr>
      </xdr:nvSpPr>
      <xdr:spPr bwMode="auto">
        <a:xfrm flipH="1" flipV="1">
          <a:off x="2009775" y="59626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</xdr:row>
      <xdr:rowOff>9525</xdr:rowOff>
    </xdr:from>
    <xdr:to>
      <xdr:col>26</xdr:col>
      <xdr:colOff>0</xdr:colOff>
      <xdr:row>8</xdr:row>
      <xdr:rowOff>76200</xdr:rowOff>
    </xdr:to>
    <xdr:sp macro="" textlink="">
      <xdr:nvSpPr>
        <xdr:cNvPr id="54747" name="Line 157">
          <a:extLst>
            <a:ext uri="{FF2B5EF4-FFF2-40B4-BE49-F238E27FC236}">
              <a16:creationId xmlns:a16="http://schemas.microsoft.com/office/drawing/2014/main" id="{2DC61842-8EDB-4751-9B46-15E1C1E4ACF8}"/>
            </a:ext>
          </a:extLst>
        </xdr:cNvPr>
        <xdr:cNvSpPr>
          <a:spLocks noChangeShapeType="1"/>
        </xdr:cNvSpPr>
      </xdr:nvSpPr>
      <xdr:spPr bwMode="auto">
        <a:xfrm flipV="1">
          <a:off x="2009775" y="59436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</xdr:row>
      <xdr:rowOff>57150</xdr:rowOff>
    </xdr:from>
    <xdr:to>
      <xdr:col>26</xdr:col>
      <xdr:colOff>0</xdr:colOff>
      <xdr:row>8</xdr:row>
      <xdr:rowOff>57150</xdr:rowOff>
    </xdr:to>
    <xdr:sp macro="" textlink="">
      <xdr:nvSpPr>
        <xdr:cNvPr id="54748" name="Line 158">
          <a:extLst>
            <a:ext uri="{FF2B5EF4-FFF2-40B4-BE49-F238E27FC236}">
              <a16:creationId xmlns:a16="http://schemas.microsoft.com/office/drawing/2014/main" id="{6ADE2CA4-2801-4361-B124-EFA27CEB6C3B}"/>
            </a:ext>
          </a:extLst>
        </xdr:cNvPr>
        <xdr:cNvSpPr>
          <a:spLocks noChangeShapeType="1"/>
        </xdr:cNvSpPr>
      </xdr:nvSpPr>
      <xdr:spPr bwMode="auto">
        <a:xfrm flipH="1">
          <a:off x="2009775" y="5991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152400</xdr:rowOff>
    </xdr:from>
    <xdr:to>
      <xdr:col>26</xdr:col>
      <xdr:colOff>0</xdr:colOff>
      <xdr:row>30</xdr:row>
      <xdr:rowOff>66675</xdr:rowOff>
    </xdr:to>
    <xdr:sp macro="" textlink="">
      <xdr:nvSpPr>
        <xdr:cNvPr id="54749" name="Line 159">
          <a:extLst>
            <a:ext uri="{FF2B5EF4-FFF2-40B4-BE49-F238E27FC236}">
              <a16:creationId xmlns:a16="http://schemas.microsoft.com/office/drawing/2014/main" id="{BF897433-1B20-4FF4-80A5-AAE3A6D16441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28575</xdr:rowOff>
    </xdr:to>
    <xdr:sp macro="" textlink="">
      <xdr:nvSpPr>
        <xdr:cNvPr id="54750" name="Arc 160">
          <a:extLst>
            <a:ext uri="{FF2B5EF4-FFF2-40B4-BE49-F238E27FC236}">
              <a16:creationId xmlns:a16="http://schemas.microsoft.com/office/drawing/2014/main" id="{590736AA-F16E-4D0F-88C5-79E6A2314D8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47625</xdr:rowOff>
    </xdr:to>
    <xdr:sp macro="" textlink="">
      <xdr:nvSpPr>
        <xdr:cNvPr id="54751" name="Arc 161">
          <a:extLst>
            <a:ext uri="{FF2B5EF4-FFF2-40B4-BE49-F238E27FC236}">
              <a16:creationId xmlns:a16="http://schemas.microsoft.com/office/drawing/2014/main" id="{1F42A03F-68B0-4296-9062-EF049103EA8B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28575</xdr:rowOff>
    </xdr:from>
    <xdr:to>
      <xdr:col>28</xdr:col>
      <xdr:colOff>0</xdr:colOff>
      <xdr:row>30</xdr:row>
      <xdr:rowOff>85725</xdr:rowOff>
    </xdr:to>
    <xdr:sp macro="" textlink="">
      <xdr:nvSpPr>
        <xdr:cNvPr id="54752" name="Arc 162">
          <a:extLst>
            <a:ext uri="{FF2B5EF4-FFF2-40B4-BE49-F238E27FC236}">
              <a16:creationId xmlns:a16="http://schemas.microsoft.com/office/drawing/2014/main" id="{6CC71A5F-857B-4F3A-A348-464C7DC611C8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36</xdr:row>
      <xdr:rowOff>28575</xdr:rowOff>
    </xdr:from>
    <xdr:to>
      <xdr:col>28</xdr:col>
      <xdr:colOff>0</xdr:colOff>
      <xdr:row>36</xdr:row>
      <xdr:rowOff>85725</xdr:rowOff>
    </xdr:to>
    <xdr:sp macro="" textlink="">
      <xdr:nvSpPr>
        <xdr:cNvPr id="54753" name="Line 163">
          <a:extLst>
            <a:ext uri="{FF2B5EF4-FFF2-40B4-BE49-F238E27FC236}">
              <a16:creationId xmlns:a16="http://schemas.microsoft.com/office/drawing/2014/main" id="{AE45B194-BC40-487D-A9BD-8A38CE9A1AA1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34112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36</xdr:row>
      <xdr:rowOff>9525</xdr:rowOff>
    </xdr:from>
    <xdr:to>
      <xdr:col>28</xdr:col>
      <xdr:colOff>0</xdr:colOff>
      <xdr:row>36</xdr:row>
      <xdr:rowOff>76200</xdr:rowOff>
    </xdr:to>
    <xdr:sp macro="" textlink="">
      <xdr:nvSpPr>
        <xdr:cNvPr id="54754" name="Line 164">
          <a:extLst>
            <a:ext uri="{FF2B5EF4-FFF2-40B4-BE49-F238E27FC236}">
              <a16:creationId xmlns:a16="http://schemas.microsoft.com/office/drawing/2014/main" id="{E88E8915-D05A-404D-99A8-BFD5702F8768}"/>
            </a:ext>
          </a:extLst>
        </xdr:cNvPr>
        <xdr:cNvSpPr>
          <a:spLocks noChangeShapeType="1"/>
        </xdr:cNvSpPr>
      </xdr:nvSpPr>
      <xdr:spPr bwMode="auto">
        <a:xfrm flipV="1">
          <a:off x="2009775" y="133921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36</xdr:row>
      <xdr:rowOff>57150</xdr:rowOff>
    </xdr:from>
    <xdr:to>
      <xdr:col>28</xdr:col>
      <xdr:colOff>0</xdr:colOff>
      <xdr:row>36</xdr:row>
      <xdr:rowOff>57150</xdr:rowOff>
    </xdr:to>
    <xdr:sp macro="" textlink="">
      <xdr:nvSpPr>
        <xdr:cNvPr id="54755" name="Line 165">
          <a:extLst>
            <a:ext uri="{FF2B5EF4-FFF2-40B4-BE49-F238E27FC236}">
              <a16:creationId xmlns:a16="http://schemas.microsoft.com/office/drawing/2014/main" id="{3ED66B36-8C29-485D-A465-60525FC780F0}"/>
            </a:ext>
          </a:extLst>
        </xdr:cNvPr>
        <xdr:cNvSpPr>
          <a:spLocks noChangeShapeType="1"/>
        </xdr:cNvSpPr>
      </xdr:nvSpPr>
      <xdr:spPr bwMode="auto">
        <a:xfrm flipH="1">
          <a:off x="2009775" y="13439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152400</xdr:rowOff>
    </xdr:from>
    <xdr:to>
      <xdr:col>28</xdr:col>
      <xdr:colOff>0</xdr:colOff>
      <xdr:row>30</xdr:row>
      <xdr:rowOff>66675</xdr:rowOff>
    </xdr:to>
    <xdr:sp macro="" textlink="">
      <xdr:nvSpPr>
        <xdr:cNvPr id="54756" name="Line 166">
          <a:extLst>
            <a:ext uri="{FF2B5EF4-FFF2-40B4-BE49-F238E27FC236}">
              <a16:creationId xmlns:a16="http://schemas.microsoft.com/office/drawing/2014/main" id="{97D1B0BF-4BA3-45FE-A998-9E375BB610D0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29</xdr:row>
      <xdr:rowOff>0</xdr:rowOff>
    </xdr:from>
    <xdr:to>
      <xdr:col>30</xdr:col>
      <xdr:colOff>0</xdr:colOff>
      <xdr:row>30</xdr:row>
      <xdr:rowOff>28575</xdr:rowOff>
    </xdr:to>
    <xdr:sp macro="" textlink="">
      <xdr:nvSpPr>
        <xdr:cNvPr id="54757" name="Arc 167">
          <a:extLst>
            <a:ext uri="{FF2B5EF4-FFF2-40B4-BE49-F238E27FC236}">
              <a16:creationId xmlns:a16="http://schemas.microsoft.com/office/drawing/2014/main" id="{E240BA91-C35D-46BE-A303-06BBBC26CC42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29</xdr:row>
      <xdr:rowOff>0</xdr:rowOff>
    </xdr:from>
    <xdr:to>
      <xdr:col>30</xdr:col>
      <xdr:colOff>0</xdr:colOff>
      <xdr:row>30</xdr:row>
      <xdr:rowOff>47625</xdr:rowOff>
    </xdr:to>
    <xdr:sp macro="" textlink="">
      <xdr:nvSpPr>
        <xdr:cNvPr id="54758" name="Arc 168">
          <a:extLst>
            <a:ext uri="{FF2B5EF4-FFF2-40B4-BE49-F238E27FC236}">
              <a16:creationId xmlns:a16="http://schemas.microsoft.com/office/drawing/2014/main" id="{DFF2521E-EDEB-485E-B35C-83363E95468F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29</xdr:row>
      <xdr:rowOff>28575</xdr:rowOff>
    </xdr:from>
    <xdr:to>
      <xdr:col>30</xdr:col>
      <xdr:colOff>0</xdr:colOff>
      <xdr:row>30</xdr:row>
      <xdr:rowOff>85725</xdr:rowOff>
    </xdr:to>
    <xdr:sp macro="" textlink="">
      <xdr:nvSpPr>
        <xdr:cNvPr id="54759" name="Arc 169">
          <a:extLst>
            <a:ext uri="{FF2B5EF4-FFF2-40B4-BE49-F238E27FC236}">
              <a16:creationId xmlns:a16="http://schemas.microsoft.com/office/drawing/2014/main" id="{075197F3-B156-485F-9537-486F2DE1B706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91</xdr:row>
      <xdr:rowOff>28575</xdr:rowOff>
    </xdr:from>
    <xdr:to>
      <xdr:col>30</xdr:col>
      <xdr:colOff>0</xdr:colOff>
      <xdr:row>91</xdr:row>
      <xdr:rowOff>85725</xdr:rowOff>
    </xdr:to>
    <xdr:sp macro="" textlink="">
      <xdr:nvSpPr>
        <xdr:cNvPr id="54760" name="Line 170">
          <a:extLst>
            <a:ext uri="{FF2B5EF4-FFF2-40B4-BE49-F238E27FC236}">
              <a16:creationId xmlns:a16="http://schemas.microsoft.com/office/drawing/2014/main" id="{056F279F-DF6F-4C5A-9E21-42EB1B0CDD5C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9145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91</xdr:row>
      <xdr:rowOff>9525</xdr:rowOff>
    </xdr:from>
    <xdr:to>
      <xdr:col>30</xdr:col>
      <xdr:colOff>0</xdr:colOff>
      <xdr:row>91</xdr:row>
      <xdr:rowOff>76200</xdr:rowOff>
    </xdr:to>
    <xdr:sp macro="" textlink="">
      <xdr:nvSpPr>
        <xdr:cNvPr id="54761" name="Line 171">
          <a:extLst>
            <a:ext uri="{FF2B5EF4-FFF2-40B4-BE49-F238E27FC236}">
              <a16:creationId xmlns:a16="http://schemas.microsoft.com/office/drawing/2014/main" id="{EFB9AC68-BD61-4B5A-A2C1-BF4404160790}"/>
            </a:ext>
          </a:extLst>
        </xdr:cNvPr>
        <xdr:cNvSpPr>
          <a:spLocks noChangeShapeType="1"/>
        </xdr:cNvSpPr>
      </xdr:nvSpPr>
      <xdr:spPr bwMode="auto">
        <a:xfrm flipV="1">
          <a:off x="2009775" y="18954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91</xdr:row>
      <xdr:rowOff>57150</xdr:rowOff>
    </xdr:from>
    <xdr:to>
      <xdr:col>30</xdr:col>
      <xdr:colOff>0</xdr:colOff>
      <xdr:row>91</xdr:row>
      <xdr:rowOff>57150</xdr:rowOff>
    </xdr:to>
    <xdr:sp macro="" textlink="">
      <xdr:nvSpPr>
        <xdr:cNvPr id="54762" name="Line 172">
          <a:extLst>
            <a:ext uri="{FF2B5EF4-FFF2-40B4-BE49-F238E27FC236}">
              <a16:creationId xmlns:a16="http://schemas.microsoft.com/office/drawing/2014/main" id="{E0D964FA-FB0D-4A4D-9951-9A485030F824}"/>
            </a:ext>
          </a:extLst>
        </xdr:cNvPr>
        <xdr:cNvSpPr>
          <a:spLocks noChangeShapeType="1"/>
        </xdr:cNvSpPr>
      </xdr:nvSpPr>
      <xdr:spPr bwMode="auto">
        <a:xfrm flipH="1">
          <a:off x="200977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29</xdr:row>
      <xdr:rowOff>152400</xdr:rowOff>
    </xdr:from>
    <xdr:to>
      <xdr:col>30</xdr:col>
      <xdr:colOff>0</xdr:colOff>
      <xdr:row>30</xdr:row>
      <xdr:rowOff>66675</xdr:rowOff>
    </xdr:to>
    <xdr:sp macro="" textlink="">
      <xdr:nvSpPr>
        <xdr:cNvPr id="54763" name="Line 173">
          <a:extLst>
            <a:ext uri="{FF2B5EF4-FFF2-40B4-BE49-F238E27FC236}">
              <a16:creationId xmlns:a16="http://schemas.microsoft.com/office/drawing/2014/main" id="{F814FEDF-6C16-4248-B7BA-96BEBA2F15F5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28575</xdr:rowOff>
    </xdr:to>
    <xdr:sp macro="" textlink="">
      <xdr:nvSpPr>
        <xdr:cNvPr id="54764" name="Arc 174">
          <a:extLst>
            <a:ext uri="{FF2B5EF4-FFF2-40B4-BE49-F238E27FC236}">
              <a16:creationId xmlns:a16="http://schemas.microsoft.com/office/drawing/2014/main" id="{8E53D2F7-3E82-4FD5-91F6-919AC4A7E751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47625</xdr:rowOff>
    </xdr:to>
    <xdr:sp macro="" textlink="">
      <xdr:nvSpPr>
        <xdr:cNvPr id="54765" name="Arc 175">
          <a:extLst>
            <a:ext uri="{FF2B5EF4-FFF2-40B4-BE49-F238E27FC236}">
              <a16:creationId xmlns:a16="http://schemas.microsoft.com/office/drawing/2014/main" id="{CEC1CAEF-916B-4B6B-B7FE-DF659F50D723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28575</xdr:rowOff>
    </xdr:from>
    <xdr:to>
      <xdr:col>32</xdr:col>
      <xdr:colOff>0</xdr:colOff>
      <xdr:row>30</xdr:row>
      <xdr:rowOff>85725</xdr:rowOff>
    </xdr:to>
    <xdr:sp macro="" textlink="">
      <xdr:nvSpPr>
        <xdr:cNvPr id="54766" name="Arc 176">
          <a:extLst>
            <a:ext uri="{FF2B5EF4-FFF2-40B4-BE49-F238E27FC236}">
              <a16:creationId xmlns:a16="http://schemas.microsoft.com/office/drawing/2014/main" id="{E51DCF24-FFDD-4F61-91B5-3FD9A501A993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92</xdr:row>
      <xdr:rowOff>28575</xdr:rowOff>
    </xdr:from>
    <xdr:to>
      <xdr:col>32</xdr:col>
      <xdr:colOff>0</xdr:colOff>
      <xdr:row>92</xdr:row>
      <xdr:rowOff>85725</xdr:rowOff>
    </xdr:to>
    <xdr:sp macro="" textlink="">
      <xdr:nvSpPr>
        <xdr:cNvPr id="54767" name="Line 177">
          <a:extLst>
            <a:ext uri="{FF2B5EF4-FFF2-40B4-BE49-F238E27FC236}">
              <a16:creationId xmlns:a16="http://schemas.microsoft.com/office/drawing/2014/main" id="{8D74F847-519A-4E62-BBF6-980C8E39B521}"/>
            </a:ext>
          </a:extLst>
        </xdr:cNvPr>
        <xdr:cNvSpPr>
          <a:spLocks noChangeShapeType="1"/>
        </xdr:cNvSpPr>
      </xdr:nvSpPr>
      <xdr:spPr bwMode="auto">
        <a:xfrm flipH="1" flipV="1">
          <a:off x="2009775" y="20764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92</xdr:row>
      <xdr:rowOff>9525</xdr:rowOff>
    </xdr:from>
    <xdr:to>
      <xdr:col>32</xdr:col>
      <xdr:colOff>0</xdr:colOff>
      <xdr:row>92</xdr:row>
      <xdr:rowOff>76200</xdr:rowOff>
    </xdr:to>
    <xdr:sp macro="" textlink="">
      <xdr:nvSpPr>
        <xdr:cNvPr id="54768" name="Line 178">
          <a:extLst>
            <a:ext uri="{FF2B5EF4-FFF2-40B4-BE49-F238E27FC236}">
              <a16:creationId xmlns:a16="http://schemas.microsoft.com/office/drawing/2014/main" id="{B3F58A81-7626-433A-9715-EEA24C4B04D9}"/>
            </a:ext>
          </a:extLst>
        </xdr:cNvPr>
        <xdr:cNvSpPr>
          <a:spLocks noChangeShapeType="1"/>
        </xdr:cNvSpPr>
      </xdr:nvSpPr>
      <xdr:spPr bwMode="auto">
        <a:xfrm flipV="1">
          <a:off x="2009775" y="20574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92</xdr:row>
      <xdr:rowOff>57150</xdr:rowOff>
    </xdr:from>
    <xdr:to>
      <xdr:col>32</xdr:col>
      <xdr:colOff>0</xdr:colOff>
      <xdr:row>92</xdr:row>
      <xdr:rowOff>57150</xdr:rowOff>
    </xdr:to>
    <xdr:sp macro="" textlink="">
      <xdr:nvSpPr>
        <xdr:cNvPr id="54769" name="Line 179">
          <a:extLst>
            <a:ext uri="{FF2B5EF4-FFF2-40B4-BE49-F238E27FC236}">
              <a16:creationId xmlns:a16="http://schemas.microsoft.com/office/drawing/2014/main" id="{08ADE5D2-9F37-49AA-A635-50AB3EF7ABA7}"/>
            </a:ext>
          </a:extLst>
        </xdr:cNvPr>
        <xdr:cNvSpPr>
          <a:spLocks noChangeShapeType="1"/>
        </xdr:cNvSpPr>
      </xdr:nvSpPr>
      <xdr:spPr bwMode="auto">
        <a:xfrm flipH="1">
          <a:off x="2009775" y="210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152400</xdr:rowOff>
    </xdr:from>
    <xdr:to>
      <xdr:col>32</xdr:col>
      <xdr:colOff>0</xdr:colOff>
      <xdr:row>30</xdr:row>
      <xdr:rowOff>66675</xdr:rowOff>
    </xdr:to>
    <xdr:sp macro="" textlink="">
      <xdr:nvSpPr>
        <xdr:cNvPr id="54770" name="Line 180">
          <a:extLst>
            <a:ext uri="{FF2B5EF4-FFF2-40B4-BE49-F238E27FC236}">
              <a16:creationId xmlns:a16="http://schemas.microsoft.com/office/drawing/2014/main" id="{46C15E62-6145-4B06-9045-5896F9173277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28575</xdr:rowOff>
    </xdr:to>
    <xdr:sp macro="" textlink="">
      <xdr:nvSpPr>
        <xdr:cNvPr id="54771" name="Arc 181">
          <a:extLst>
            <a:ext uri="{FF2B5EF4-FFF2-40B4-BE49-F238E27FC236}">
              <a16:creationId xmlns:a16="http://schemas.microsoft.com/office/drawing/2014/main" id="{9535CB4E-793A-4031-928A-2ABECBA861EB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47625</xdr:rowOff>
    </xdr:to>
    <xdr:sp macro="" textlink="">
      <xdr:nvSpPr>
        <xdr:cNvPr id="54772" name="Arc 182">
          <a:extLst>
            <a:ext uri="{FF2B5EF4-FFF2-40B4-BE49-F238E27FC236}">
              <a16:creationId xmlns:a16="http://schemas.microsoft.com/office/drawing/2014/main" id="{342D5140-D2B1-4668-A422-B53DD9AF4E9E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28575</xdr:rowOff>
    </xdr:from>
    <xdr:to>
      <xdr:col>32</xdr:col>
      <xdr:colOff>0</xdr:colOff>
      <xdr:row>30</xdr:row>
      <xdr:rowOff>85725</xdr:rowOff>
    </xdr:to>
    <xdr:sp macro="" textlink="">
      <xdr:nvSpPr>
        <xdr:cNvPr id="54773" name="Arc 183">
          <a:extLst>
            <a:ext uri="{FF2B5EF4-FFF2-40B4-BE49-F238E27FC236}">
              <a16:creationId xmlns:a16="http://schemas.microsoft.com/office/drawing/2014/main" id="{A30CA70E-D56B-4E3B-83CC-1CF08CD085B2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92</xdr:row>
      <xdr:rowOff>28575</xdr:rowOff>
    </xdr:from>
    <xdr:to>
      <xdr:col>32</xdr:col>
      <xdr:colOff>0</xdr:colOff>
      <xdr:row>92</xdr:row>
      <xdr:rowOff>85725</xdr:rowOff>
    </xdr:to>
    <xdr:sp macro="" textlink="">
      <xdr:nvSpPr>
        <xdr:cNvPr id="54774" name="Line 184">
          <a:extLst>
            <a:ext uri="{FF2B5EF4-FFF2-40B4-BE49-F238E27FC236}">
              <a16:creationId xmlns:a16="http://schemas.microsoft.com/office/drawing/2014/main" id="{684CCA2E-88EB-4187-894F-35C466B35213}"/>
            </a:ext>
          </a:extLst>
        </xdr:cNvPr>
        <xdr:cNvSpPr>
          <a:spLocks noChangeShapeType="1"/>
        </xdr:cNvSpPr>
      </xdr:nvSpPr>
      <xdr:spPr bwMode="auto">
        <a:xfrm flipH="1" flipV="1">
          <a:off x="2009775" y="20764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92</xdr:row>
      <xdr:rowOff>9525</xdr:rowOff>
    </xdr:from>
    <xdr:to>
      <xdr:col>32</xdr:col>
      <xdr:colOff>0</xdr:colOff>
      <xdr:row>92</xdr:row>
      <xdr:rowOff>76200</xdr:rowOff>
    </xdr:to>
    <xdr:sp macro="" textlink="">
      <xdr:nvSpPr>
        <xdr:cNvPr id="54775" name="Line 185">
          <a:extLst>
            <a:ext uri="{FF2B5EF4-FFF2-40B4-BE49-F238E27FC236}">
              <a16:creationId xmlns:a16="http://schemas.microsoft.com/office/drawing/2014/main" id="{38973F6B-4CEA-492E-8786-96FDF368FD49}"/>
            </a:ext>
          </a:extLst>
        </xdr:cNvPr>
        <xdr:cNvSpPr>
          <a:spLocks noChangeShapeType="1"/>
        </xdr:cNvSpPr>
      </xdr:nvSpPr>
      <xdr:spPr bwMode="auto">
        <a:xfrm flipV="1">
          <a:off x="2009775" y="20574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92</xdr:row>
      <xdr:rowOff>57150</xdr:rowOff>
    </xdr:from>
    <xdr:to>
      <xdr:col>32</xdr:col>
      <xdr:colOff>0</xdr:colOff>
      <xdr:row>92</xdr:row>
      <xdr:rowOff>57150</xdr:rowOff>
    </xdr:to>
    <xdr:sp macro="" textlink="">
      <xdr:nvSpPr>
        <xdr:cNvPr id="54776" name="Line 186">
          <a:extLst>
            <a:ext uri="{FF2B5EF4-FFF2-40B4-BE49-F238E27FC236}">
              <a16:creationId xmlns:a16="http://schemas.microsoft.com/office/drawing/2014/main" id="{EC522A63-7938-41D2-BBFE-7CFB890353DF}"/>
            </a:ext>
          </a:extLst>
        </xdr:cNvPr>
        <xdr:cNvSpPr>
          <a:spLocks noChangeShapeType="1"/>
        </xdr:cNvSpPr>
      </xdr:nvSpPr>
      <xdr:spPr bwMode="auto">
        <a:xfrm flipH="1">
          <a:off x="2009775" y="210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152400</xdr:rowOff>
    </xdr:from>
    <xdr:to>
      <xdr:col>32</xdr:col>
      <xdr:colOff>0</xdr:colOff>
      <xdr:row>30</xdr:row>
      <xdr:rowOff>66675</xdr:rowOff>
    </xdr:to>
    <xdr:sp macro="" textlink="">
      <xdr:nvSpPr>
        <xdr:cNvPr id="54777" name="Line 187">
          <a:extLst>
            <a:ext uri="{FF2B5EF4-FFF2-40B4-BE49-F238E27FC236}">
              <a16:creationId xmlns:a16="http://schemas.microsoft.com/office/drawing/2014/main" id="{18095F7E-60EF-4616-B1DF-E992C6C2A298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29</xdr:row>
      <xdr:rowOff>0</xdr:rowOff>
    </xdr:from>
    <xdr:to>
      <xdr:col>34</xdr:col>
      <xdr:colOff>0</xdr:colOff>
      <xdr:row>30</xdr:row>
      <xdr:rowOff>28575</xdr:rowOff>
    </xdr:to>
    <xdr:sp macro="" textlink="">
      <xdr:nvSpPr>
        <xdr:cNvPr id="54778" name="Arc 195">
          <a:extLst>
            <a:ext uri="{FF2B5EF4-FFF2-40B4-BE49-F238E27FC236}">
              <a16:creationId xmlns:a16="http://schemas.microsoft.com/office/drawing/2014/main" id="{DB36300F-55F4-488E-8A76-511F6CE2D10C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29</xdr:row>
      <xdr:rowOff>0</xdr:rowOff>
    </xdr:from>
    <xdr:to>
      <xdr:col>34</xdr:col>
      <xdr:colOff>0</xdr:colOff>
      <xdr:row>30</xdr:row>
      <xdr:rowOff>47625</xdr:rowOff>
    </xdr:to>
    <xdr:sp macro="" textlink="">
      <xdr:nvSpPr>
        <xdr:cNvPr id="54779" name="Arc 196">
          <a:extLst>
            <a:ext uri="{FF2B5EF4-FFF2-40B4-BE49-F238E27FC236}">
              <a16:creationId xmlns:a16="http://schemas.microsoft.com/office/drawing/2014/main" id="{DA3B9E87-ED61-4911-A34B-FC4118EA6F95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29</xdr:row>
      <xdr:rowOff>28575</xdr:rowOff>
    </xdr:from>
    <xdr:to>
      <xdr:col>34</xdr:col>
      <xdr:colOff>0</xdr:colOff>
      <xdr:row>30</xdr:row>
      <xdr:rowOff>85725</xdr:rowOff>
    </xdr:to>
    <xdr:sp macro="" textlink="">
      <xdr:nvSpPr>
        <xdr:cNvPr id="54780" name="Arc 197">
          <a:extLst>
            <a:ext uri="{FF2B5EF4-FFF2-40B4-BE49-F238E27FC236}">
              <a16:creationId xmlns:a16="http://schemas.microsoft.com/office/drawing/2014/main" id="{50C32CD8-5A0A-46E1-9362-25BF119572E5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54</xdr:row>
      <xdr:rowOff>28575</xdr:rowOff>
    </xdr:from>
    <xdr:to>
      <xdr:col>34</xdr:col>
      <xdr:colOff>0</xdr:colOff>
      <xdr:row>54</xdr:row>
      <xdr:rowOff>85725</xdr:rowOff>
    </xdr:to>
    <xdr:sp macro="" textlink="">
      <xdr:nvSpPr>
        <xdr:cNvPr id="54781" name="Line 198">
          <a:extLst>
            <a:ext uri="{FF2B5EF4-FFF2-40B4-BE49-F238E27FC236}">
              <a16:creationId xmlns:a16="http://schemas.microsoft.com/office/drawing/2014/main" id="{E27857D3-710A-4841-959B-A3674989C4F0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32492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54</xdr:row>
      <xdr:rowOff>9525</xdr:rowOff>
    </xdr:from>
    <xdr:to>
      <xdr:col>34</xdr:col>
      <xdr:colOff>0</xdr:colOff>
      <xdr:row>54</xdr:row>
      <xdr:rowOff>76200</xdr:rowOff>
    </xdr:to>
    <xdr:sp macro="" textlink="">
      <xdr:nvSpPr>
        <xdr:cNvPr id="54782" name="Line 199">
          <a:extLst>
            <a:ext uri="{FF2B5EF4-FFF2-40B4-BE49-F238E27FC236}">
              <a16:creationId xmlns:a16="http://schemas.microsoft.com/office/drawing/2014/main" id="{4CF1EF4D-39B4-48AE-89EB-44955B24EB9F}"/>
            </a:ext>
          </a:extLst>
        </xdr:cNvPr>
        <xdr:cNvSpPr>
          <a:spLocks noChangeShapeType="1"/>
        </xdr:cNvSpPr>
      </xdr:nvSpPr>
      <xdr:spPr bwMode="auto">
        <a:xfrm flipV="1">
          <a:off x="2009775" y="132302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54</xdr:row>
      <xdr:rowOff>57150</xdr:rowOff>
    </xdr:from>
    <xdr:to>
      <xdr:col>34</xdr:col>
      <xdr:colOff>0</xdr:colOff>
      <xdr:row>54</xdr:row>
      <xdr:rowOff>57150</xdr:rowOff>
    </xdr:to>
    <xdr:sp macro="" textlink="">
      <xdr:nvSpPr>
        <xdr:cNvPr id="54783" name="Line 200">
          <a:extLst>
            <a:ext uri="{FF2B5EF4-FFF2-40B4-BE49-F238E27FC236}">
              <a16:creationId xmlns:a16="http://schemas.microsoft.com/office/drawing/2014/main" id="{4B52838F-6627-41ED-9000-F030195E0193}"/>
            </a:ext>
          </a:extLst>
        </xdr:cNvPr>
        <xdr:cNvSpPr>
          <a:spLocks noChangeShapeType="1"/>
        </xdr:cNvSpPr>
      </xdr:nvSpPr>
      <xdr:spPr bwMode="auto">
        <a:xfrm flipH="1">
          <a:off x="200977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29</xdr:row>
      <xdr:rowOff>152400</xdr:rowOff>
    </xdr:from>
    <xdr:to>
      <xdr:col>34</xdr:col>
      <xdr:colOff>0</xdr:colOff>
      <xdr:row>30</xdr:row>
      <xdr:rowOff>66675</xdr:rowOff>
    </xdr:to>
    <xdr:sp macro="" textlink="">
      <xdr:nvSpPr>
        <xdr:cNvPr id="54784" name="Line 201">
          <a:extLst>
            <a:ext uri="{FF2B5EF4-FFF2-40B4-BE49-F238E27FC236}">
              <a16:creationId xmlns:a16="http://schemas.microsoft.com/office/drawing/2014/main" id="{BA2639E0-D6A5-4EC7-ACAB-72BE08FE24AB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4785" name="Arc 202">
          <a:extLst>
            <a:ext uri="{FF2B5EF4-FFF2-40B4-BE49-F238E27FC236}">
              <a16:creationId xmlns:a16="http://schemas.microsoft.com/office/drawing/2014/main" id="{FC4FD99F-3830-4C5F-B41E-42326265C54D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4786" name="Arc 203">
          <a:extLst>
            <a:ext uri="{FF2B5EF4-FFF2-40B4-BE49-F238E27FC236}">
              <a16:creationId xmlns:a16="http://schemas.microsoft.com/office/drawing/2014/main" id="{554D9B7D-B26E-4FDA-8726-2B7EE59598E9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4787" name="Arc 204">
          <a:extLst>
            <a:ext uri="{FF2B5EF4-FFF2-40B4-BE49-F238E27FC236}">
              <a16:creationId xmlns:a16="http://schemas.microsoft.com/office/drawing/2014/main" id="{C1C99E3D-FC2F-48B0-9260-EFCAA3DD2B74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71</xdr:row>
      <xdr:rowOff>28575</xdr:rowOff>
    </xdr:from>
    <xdr:to>
      <xdr:col>18</xdr:col>
      <xdr:colOff>0</xdr:colOff>
      <xdr:row>71</xdr:row>
      <xdr:rowOff>85725</xdr:rowOff>
    </xdr:to>
    <xdr:sp macro="" textlink="">
      <xdr:nvSpPr>
        <xdr:cNvPr id="54788" name="Line 205">
          <a:extLst>
            <a:ext uri="{FF2B5EF4-FFF2-40B4-BE49-F238E27FC236}">
              <a16:creationId xmlns:a16="http://schemas.microsoft.com/office/drawing/2014/main" id="{7A567560-E595-4749-BAD4-7ED8E29E0EDF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4287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71</xdr:row>
      <xdr:rowOff>9525</xdr:rowOff>
    </xdr:from>
    <xdr:to>
      <xdr:col>18</xdr:col>
      <xdr:colOff>0</xdr:colOff>
      <xdr:row>71</xdr:row>
      <xdr:rowOff>76200</xdr:rowOff>
    </xdr:to>
    <xdr:sp macro="" textlink="">
      <xdr:nvSpPr>
        <xdr:cNvPr id="54789" name="Line 206">
          <a:extLst>
            <a:ext uri="{FF2B5EF4-FFF2-40B4-BE49-F238E27FC236}">
              <a16:creationId xmlns:a16="http://schemas.microsoft.com/office/drawing/2014/main" id="{5741627E-A02A-4E3B-9613-159F0325CA51}"/>
            </a:ext>
          </a:extLst>
        </xdr:cNvPr>
        <xdr:cNvSpPr>
          <a:spLocks noChangeShapeType="1"/>
        </xdr:cNvSpPr>
      </xdr:nvSpPr>
      <xdr:spPr bwMode="auto">
        <a:xfrm flipV="1">
          <a:off x="2009775" y="14097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71</xdr:row>
      <xdr:rowOff>57150</xdr:rowOff>
    </xdr:from>
    <xdr:to>
      <xdr:col>18</xdr:col>
      <xdr:colOff>0</xdr:colOff>
      <xdr:row>71</xdr:row>
      <xdr:rowOff>57150</xdr:rowOff>
    </xdr:to>
    <xdr:sp macro="" textlink="">
      <xdr:nvSpPr>
        <xdr:cNvPr id="54790" name="Line 207">
          <a:extLst>
            <a:ext uri="{FF2B5EF4-FFF2-40B4-BE49-F238E27FC236}">
              <a16:creationId xmlns:a16="http://schemas.microsoft.com/office/drawing/2014/main" id="{5A2AEF70-33BE-400A-BDA1-82DFFFE93124}"/>
            </a:ext>
          </a:extLst>
        </xdr:cNvPr>
        <xdr:cNvSpPr>
          <a:spLocks noChangeShapeType="1"/>
        </xdr:cNvSpPr>
      </xdr:nvSpPr>
      <xdr:spPr bwMode="auto">
        <a:xfrm flipH="1">
          <a:off x="2009775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4791" name="Line 208">
          <a:extLst>
            <a:ext uri="{FF2B5EF4-FFF2-40B4-BE49-F238E27FC236}">
              <a16:creationId xmlns:a16="http://schemas.microsoft.com/office/drawing/2014/main" id="{9945D56F-C718-44E8-8AE4-5F7819003F73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28575</xdr:rowOff>
    </xdr:to>
    <xdr:sp macro="" textlink="">
      <xdr:nvSpPr>
        <xdr:cNvPr id="54792" name="Arc 209">
          <a:extLst>
            <a:ext uri="{FF2B5EF4-FFF2-40B4-BE49-F238E27FC236}">
              <a16:creationId xmlns:a16="http://schemas.microsoft.com/office/drawing/2014/main" id="{FD89712B-937E-4DF7-8536-D57F29D7AE13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47625</xdr:rowOff>
    </xdr:to>
    <xdr:sp macro="" textlink="">
      <xdr:nvSpPr>
        <xdr:cNvPr id="54793" name="Arc 210">
          <a:extLst>
            <a:ext uri="{FF2B5EF4-FFF2-40B4-BE49-F238E27FC236}">
              <a16:creationId xmlns:a16="http://schemas.microsoft.com/office/drawing/2014/main" id="{EE5390F7-7FCE-4479-B79D-E1651A0AB555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28575</xdr:rowOff>
    </xdr:from>
    <xdr:to>
      <xdr:col>20</xdr:col>
      <xdr:colOff>0</xdr:colOff>
      <xdr:row>30</xdr:row>
      <xdr:rowOff>85725</xdr:rowOff>
    </xdr:to>
    <xdr:sp macro="" textlink="">
      <xdr:nvSpPr>
        <xdr:cNvPr id="54794" name="Arc 211">
          <a:extLst>
            <a:ext uri="{FF2B5EF4-FFF2-40B4-BE49-F238E27FC236}">
              <a16:creationId xmlns:a16="http://schemas.microsoft.com/office/drawing/2014/main" id="{67F3CEA3-12C2-432D-B3C7-D13F0CF87A6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17</xdr:row>
      <xdr:rowOff>28575</xdr:rowOff>
    </xdr:from>
    <xdr:to>
      <xdr:col>20</xdr:col>
      <xdr:colOff>0</xdr:colOff>
      <xdr:row>17</xdr:row>
      <xdr:rowOff>85725</xdr:rowOff>
    </xdr:to>
    <xdr:sp macro="" textlink="">
      <xdr:nvSpPr>
        <xdr:cNvPr id="54795" name="Line 212">
          <a:extLst>
            <a:ext uri="{FF2B5EF4-FFF2-40B4-BE49-F238E27FC236}">
              <a16:creationId xmlns:a16="http://schemas.microsoft.com/office/drawing/2014/main" id="{8505064D-CA1C-49F5-90D3-6655E480A152}"/>
            </a:ext>
          </a:extLst>
        </xdr:cNvPr>
        <xdr:cNvSpPr>
          <a:spLocks noChangeShapeType="1"/>
        </xdr:cNvSpPr>
      </xdr:nvSpPr>
      <xdr:spPr bwMode="auto">
        <a:xfrm flipH="1" flipV="1">
          <a:off x="2009775" y="74199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17</xdr:row>
      <xdr:rowOff>9525</xdr:rowOff>
    </xdr:from>
    <xdr:to>
      <xdr:col>20</xdr:col>
      <xdr:colOff>0</xdr:colOff>
      <xdr:row>17</xdr:row>
      <xdr:rowOff>76200</xdr:rowOff>
    </xdr:to>
    <xdr:sp macro="" textlink="">
      <xdr:nvSpPr>
        <xdr:cNvPr id="54796" name="Line 213">
          <a:extLst>
            <a:ext uri="{FF2B5EF4-FFF2-40B4-BE49-F238E27FC236}">
              <a16:creationId xmlns:a16="http://schemas.microsoft.com/office/drawing/2014/main" id="{502C0775-6EBD-4E6B-88F7-449FBA06176C}"/>
            </a:ext>
          </a:extLst>
        </xdr:cNvPr>
        <xdr:cNvSpPr>
          <a:spLocks noChangeShapeType="1"/>
        </xdr:cNvSpPr>
      </xdr:nvSpPr>
      <xdr:spPr bwMode="auto">
        <a:xfrm flipV="1">
          <a:off x="2009775" y="74009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17</xdr:row>
      <xdr:rowOff>57150</xdr:rowOff>
    </xdr:from>
    <xdr:to>
      <xdr:col>20</xdr:col>
      <xdr:colOff>0</xdr:colOff>
      <xdr:row>17</xdr:row>
      <xdr:rowOff>57150</xdr:rowOff>
    </xdr:to>
    <xdr:sp macro="" textlink="">
      <xdr:nvSpPr>
        <xdr:cNvPr id="54797" name="Line 214">
          <a:extLst>
            <a:ext uri="{FF2B5EF4-FFF2-40B4-BE49-F238E27FC236}">
              <a16:creationId xmlns:a16="http://schemas.microsoft.com/office/drawing/2014/main" id="{FABD012D-2A36-412E-9D4A-F84C3F6CA4C9}"/>
            </a:ext>
          </a:extLst>
        </xdr:cNvPr>
        <xdr:cNvSpPr>
          <a:spLocks noChangeShapeType="1"/>
        </xdr:cNvSpPr>
      </xdr:nvSpPr>
      <xdr:spPr bwMode="auto">
        <a:xfrm flipH="1">
          <a:off x="2009775" y="7448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152400</xdr:rowOff>
    </xdr:from>
    <xdr:to>
      <xdr:col>20</xdr:col>
      <xdr:colOff>0</xdr:colOff>
      <xdr:row>30</xdr:row>
      <xdr:rowOff>66675</xdr:rowOff>
    </xdr:to>
    <xdr:sp macro="" textlink="">
      <xdr:nvSpPr>
        <xdr:cNvPr id="54798" name="Line 215">
          <a:extLst>
            <a:ext uri="{FF2B5EF4-FFF2-40B4-BE49-F238E27FC236}">
              <a16:creationId xmlns:a16="http://schemas.microsoft.com/office/drawing/2014/main" id="{7D43A0AA-D9FB-4B3E-B141-C5492E4CC454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87</xdr:row>
      <xdr:rowOff>81915</xdr:rowOff>
    </xdr:from>
    <xdr:ext cx="1863139" cy="282770"/>
    <xdr:sp macro="" textlink="">
      <xdr:nvSpPr>
        <xdr:cNvPr id="7384" name="Text Box 216">
          <a:extLst>
            <a:ext uri="{FF2B5EF4-FFF2-40B4-BE49-F238E27FC236}">
              <a16:creationId xmlns:a16="http://schemas.microsoft.com/office/drawing/2014/main" id="{79DDF3FC-593B-4109-AD54-95527BB06F88}"/>
            </a:ext>
          </a:extLst>
        </xdr:cNvPr>
        <xdr:cNvSpPr txBox="1">
          <a:spLocks noChangeArrowheads="1"/>
        </xdr:cNvSpPr>
      </xdr:nvSpPr>
      <xdr:spPr bwMode="auto">
        <a:xfrm>
          <a:off x="1114425" y="10387965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28575</xdr:rowOff>
    </xdr:to>
    <xdr:sp macro="" textlink="">
      <xdr:nvSpPr>
        <xdr:cNvPr id="54800" name="Arc 217">
          <a:extLst>
            <a:ext uri="{FF2B5EF4-FFF2-40B4-BE49-F238E27FC236}">
              <a16:creationId xmlns:a16="http://schemas.microsoft.com/office/drawing/2014/main" id="{AD74E74F-D109-4B82-96A4-22105C899901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47625</xdr:rowOff>
    </xdr:to>
    <xdr:sp macro="" textlink="">
      <xdr:nvSpPr>
        <xdr:cNvPr id="54801" name="Arc 218">
          <a:extLst>
            <a:ext uri="{FF2B5EF4-FFF2-40B4-BE49-F238E27FC236}">
              <a16:creationId xmlns:a16="http://schemas.microsoft.com/office/drawing/2014/main" id="{E06DD36C-838D-49AF-AF68-0C91D043B7AE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28575</xdr:rowOff>
    </xdr:from>
    <xdr:to>
      <xdr:col>22</xdr:col>
      <xdr:colOff>0</xdr:colOff>
      <xdr:row>30</xdr:row>
      <xdr:rowOff>85725</xdr:rowOff>
    </xdr:to>
    <xdr:sp macro="" textlink="">
      <xdr:nvSpPr>
        <xdr:cNvPr id="54802" name="Arc 219">
          <a:extLst>
            <a:ext uri="{FF2B5EF4-FFF2-40B4-BE49-F238E27FC236}">
              <a16:creationId xmlns:a16="http://schemas.microsoft.com/office/drawing/2014/main" id="{FE4245AF-3333-480B-BAFD-8F4B608A6D74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71</xdr:row>
      <xdr:rowOff>28575</xdr:rowOff>
    </xdr:from>
    <xdr:to>
      <xdr:col>22</xdr:col>
      <xdr:colOff>0</xdr:colOff>
      <xdr:row>71</xdr:row>
      <xdr:rowOff>85725</xdr:rowOff>
    </xdr:to>
    <xdr:sp macro="" textlink="">
      <xdr:nvSpPr>
        <xdr:cNvPr id="54803" name="Line 220">
          <a:extLst>
            <a:ext uri="{FF2B5EF4-FFF2-40B4-BE49-F238E27FC236}">
              <a16:creationId xmlns:a16="http://schemas.microsoft.com/office/drawing/2014/main" id="{9CD688A3-D5D0-4C9F-B835-45DB4C4391F7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4287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71</xdr:row>
      <xdr:rowOff>9525</xdr:rowOff>
    </xdr:from>
    <xdr:to>
      <xdr:col>22</xdr:col>
      <xdr:colOff>0</xdr:colOff>
      <xdr:row>71</xdr:row>
      <xdr:rowOff>76200</xdr:rowOff>
    </xdr:to>
    <xdr:sp macro="" textlink="">
      <xdr:nvSpPr>
        <xdr:cNvPr id="54804" name="Line 221">
          <a:extLst>
            <a:ext uri="{FF2B5EF4-FFF2-40B4-BE49-F238E27FC236}">
              <a16:creationId xmlns:a16="http://schemas.microsoft.com/office/drawing/2014/main" id="{C1E9C433-EA03-4FF9-AC89-CCD683AB49CD}"/>
            </a:ext>
          </a:extLst>
        </xdr:cNvPr>
        <xdr:cNvSpPr>
          <a:spLocks noChangeShapeType="1"/>
        </xdr:cNvSpPr>
      </xdr:nvSpPr>
      <xdr:spPr bwMode="auto">
        <a:xfrm flipV="1">
          <a:off x="2009775" y="14097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71</xdr:row>
      <xdr:rowOff>57150</xdr:rowOff>
    </xdr:from>
    <xdr:to>
      <xdr:col>22</xdr:col>
      <xdr:colOff>0</xdr:colOff>
      <xdr:row>71</xdr:row>
      <xdr:rowOff>57150</xdr:rowOff>
    </xdr:to>
    <xdr:sp macro="" textlink="">
      <xdr:nvSpPr>
        <xdr:cNvPr id="54805" name="Line 222">
          <a:extLst>
            <a:ext uri="{FF2B5EF4-FFF2-40B4-BE49-F238E27FC236}">
              <a16:creationId xmlns:a16="http://schemas.microsoft.com/office/drawing/2014/main" id="{F8B290A9-94C9-4834-856C-1969F6922896}"/>
            </a:ext>
          </a:extLst>
        </xdr:cNvPr>
        <xdr:cNvSpPr>
          <a:spLocks noChangeShapeType="1"/>
        </xdr:cNvSpPr>
      </xdr:nvSpPr>
      <xdr:spPr bwMode="auto">
        <a:xfrm flipH="1">
          <a:off x="2009775" y="145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152400</xdr:rowOff>
    </xdr:from>
    <xdr:to>
      <xdr:col>22</xdr:col>
      <xdr:colOff>0</xdr:colOff>
      <xdr:row>30</xdr:row>
      <xdr:rowOff>66675</xdr:rowOff>
    </xdr:to>
    <xdr:sp macro="" textlink="">
      <xdr:nvSpPr>
        <xdr:cNvPr id="54806" name="Line 223">
          <a:extLst>
            <a:ext uri="{FF2B5EF4-FFF2-40B4-BE49-F238E27FC236}">
              <a16:creationId xmlns:a16="http://schemas.microsoft.com/office/drawing/2014/main" id="{7DB932F4-1E3A-4BDE-8C99-618C62F620F5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28575</xdr:rowOff>
    </xdr:to>
    <xdr:sp macro="" textlink="">
      <xdr:nvSpPr>
        <xdr:cNvPr id="54807" name="Arc 224">
          <a:extLst>
            <a:ext uri="{FF2B5EF4-FFF2-40B4-BE49-F238E27FC236}">
              <a16:creationId xmlns:a16="http://schemas.microsoft.com/office/drawing/2014/main" id="{34D0A248-DFA1-4A80-A23E-FEC7EB00EA0F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47625</xdr:rowOff>
    </xdr:to>
    <xdr:sp macro="" textlink="">
      <xdr:nvSpPr>
        <xdr:cNvPr id="54808" name="Arc 225">
          <a:extLst>
            <a:ext uri="{FF2B5EF4-FFF2-40B4-BE49-F238E27FC236}">
              <a16:creationId xmlns:a16="http://schemas.microsoft.com/office/drawing/2014/main" id="{05B4B713-8851-4F87-A5B6-BCF0527C0742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28575</xdr:rowOff>
    </xdr:from>
    <xdr:to>
      <xdr:col>24</xdr:col>
      <xdr:colOff>0</xdr:colOff>
      <xdr:row>30</xdr:row>
      <xdr:rowOff>85725</xdr:rowOff>
    </xdr:to>
    <xdr:sp macro="" textlink="">
      <xdr:nvSpPr>
        <xdr:cNvPr id="54809" name="Arc 226">
          <a:extLst>
            <a:ext uri="{FF2B5EF4-FFF2-40B4-BE49-F238E27FC236}">
              <a16:creationId xmlns:a16="http://schemas.microsoft.com/office/drawing/2014/main" id="{9090B0A4-3559-4640-A5D6-5EFDA887C1CB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39</xdr:row>
      <xdr:rowOff>28575</xdr:rowOff>
    </xdr:from>
    <xdr:to>
      <xdr:col>24</xdr:col>
      <xdr:colOff>0</xdr:colOff>
      <xdr:row>39</xdr:row>
      <xdr:rowOff>85725</xdr:rowOff>
    </xdr:to>
    <xdr:sp macro="" textlink="">
      <xdr:nvSpPr>
        <xdr:cNvPr id="54810" name="Line 227">
          <a:extLst>
            <a:ext uri="{FF2B5EF4-FFF2-40B4-BE49-F238E27FC236}">
              <a16:creationId xmlns:a16="http://schemas.microsoft.com/office/drawing/2014/main" id="{7476A252-631D-456F-8AC4-5062FD770F83}"/>
            </a:ext>
          </a:extLst>
        </xdr:cNvPr>
        <xdr:cNvSpPr>
          <a:spLocks noChangeShapeType="1"/>
        </xdr:cNvSpPr>
      </xdr:nvSpPr>
      <xdr:spPr bwMode="auto">
        <a:xfrm flipH="1" flipV="1">
          <a:off x="2009775" y="46672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39</xdr:row>
      <xdr:rowOff>9525</xdr:rowOff>
    </xdr:from>
    <xdr:to>
      <xdr:col>24</xdr:col>
      <xdr:colOff>0</xdr:colOff>
      <xdr:row>39</xdr:row>
      <xdr:rowOff>76200</xdr:rowOff>
    </xdr:to>
    <xdr:sp macro="" textlink="">
      <xdr:nvSpPr>
        <xdr:cNvPr id="54811" name="Line 228">
          <a:extLst>
            <a:ext uri="{FF2B5EF4-FFF2-40B4-BE49-F238E27FC236}">
              <a16:creationId xmlns:a16="http://schemas.microsoft.com/office/drawing/2014/main" id="{0CCEAB95-98EB-422E-AAC4-4CC6783B86A2}"/>
            </a:ext>
          </a:extLst>
        </xdr:cNvPr>
        <xdr:cNvSpPr>
          <a:spLocks noChangeShapeType="1"/>
        </xdr:cNvSpPr>
      </xdr:nvSpPr>
      <xdr:spPr bwMode="auto">
        <a:xfrm flipV="1">
          <a:off x="2009775" y="46482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39</xdr:row>
      <xdr:rowOff>57150</xdr:rowOff>
    </xdr:from>
    <xdr:to>
      <xdr:col>24</xdr:col>
      <xdr:colOff>0</xdr:colOff>
      <xdr:row>39</xdr:row>
      <xdr:rowOff>57150</xdr:rowOff>
    </xdr:to>
    <xdr:sp macro="" textlink="">
      <xdr:nvSpPr>
        <xdr:cNvPr id="54812" name="Line 229">
          <a:extLst>
            <a:ext uri="{FF2B5EF4-FFF2-40B4-BE49-F238E27FC236}">
              <a16:creationId xmlns:a16="http://schemas.microsoft.com/office/drawing/2014/main" id="{B59D21DE-73D2-4285-906F-6E76593CEB80}"/>
            </a:ext>
          </a:extLst>
        </xdr:cNvPr>
        <xdr:cNvSpPr>
          <a:spLocks noChangeShapeType="1"/>
        </xdr:cNvSpPr>
      </xdr:nvSpPr>
      <xdr:spPr bwMode="auto">
        <a:xfrm flipH="1">
          <a:off x="2009775" y="469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152400</xdr:rowOff>
    </xdr:from>
    <xdr:to>
      <xdr:col>24</xdr:col>
      <xdr:colOff>0</xdr:colOff>
      <xdr:row>30</xdr:row>
      <xdr:rowOff>66675</xdr:rowOff>
    </xdr:to>
    <xdr:sp macro="" textlink="">
      <xdr:nvSpPr>
        <xdr:cNvPr id="54813" name="Line 230">
          <a:extLst>
            <a:ext uri="{FF2B5EF4-FFF2-40B4-BE49-F238E27FC236}">
              <a16:creationId xmlns:a16="http://schemas.microsoft.com/office/drawing/2014/main" id="{F43A47CC-03FE-42CF-92DE-E6E00E1106F3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28575</xdr:rowOff>
    </xdr:to>
    <xdr:sp macro="" textlink="">
      <xdr:nvSpPr>
        <xdr:cNvPr id="54814" name="Arc 231">
          <a:extLst>
            <a:ext uri="{FF2B5EF4-FFF2-40B4-BE49-F238E27FC236}">
              <a16:creationId xmlns:a16="http://schemas.microsoft.com/office/drawing/2014/main" id="{F55A825F-1E6B-47B7-81EB-F5385FD8E499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47625</xdr:rowOff>
    </xdr:to>
    <xdr:sp macro="" textlink="">
      <xdr:nvSpPr>
        <xdr:cNvPr id="54815" name="Arc 232">
          <a:extLst>
            <a:ext uri="{FF2B5EF4-FFF2-40B4-BE49-F238E27FC236}">
              <a16:creationId xmlns:a16="http://schemas.microsoft.com/office/drawing/2014/main" id="{A7AF04F2-25BD-4D6E-A2C9-A78851206722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28575</xdr:rowOff>
    </xdr:from>
    <xdr:to>
      <xdr:col>26</xdr:col>
      <xdr:colOff>0</xdr:colOff>
      <xdr:row>30</xdr:row>
      <xdr:rowOff>85725</xdr:rowOff>
    </xdr:to>
    <xdr:sp macro="" textlink="">
      <xdr:nvSpPr>
        <xdr:cNvPr id="54816" name="Arc 233">
          <a:extLst>
            <a:ext uri="{FF2B5EF4-FFF2-40B4-BE49-F238E27FC236}">
              <a16:creationId xmlns:a16="http://schemas.microsoft.com/office/drawing/2014/main" id="{21A866EF-0565-4A83-AD3A-041B2F334C0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101</xdr:row>
      <xdr:rowOff>28575</xdr:rowOff>
    </xdr:from>
    <xdr:to>
      <xdr:col>26</xdr:col>
      <xdr:colOff>0</xdr:colOff>
      <xdr:row>101</xdr:row>
      <xdr:rowOff>85725</xdr:rowOff>
    </xdr:to>
    <xdr:sp macro="" textlink="">
      <xdr:nvSpPr>
        <xdr:cNvPr id="54817" name="Line 234">
          <a:extLst>
            <a:ext uri="{FF2B5EF4-FFF2-40B4-BE49-F238E27FC236}">
              <a16:creationId xmlns:a16="http://schemas.microsoft.com/office/drawing/2014/main" id="{18C5DCC9-114A-48D4-8347-D4657112D3B7}"/>
            </a:ext>
          </a:extLst>
        </xdr:cNvPr>
        <xdr:cNvSpPr>
          <a:spLocks noChangeShapeType="1"/>
        </xdr:cNvSpPr>
      </xdr:nvSpPr>
      <xdr:spPr bwMode="auto">
        <a:xfrm flipH="1" flipV="1">
          <a:off x="2009775" y="40195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101</xdr:row>
      <xdr:rowOff>9525</xdr:rowOff>
    </xdr:from>
    <xdr:to>
      <xdr:col>26</xdr:col>
      <xdr:colOff>0</xdr:colOff>
      <xdr:row>101</xdr:row>
      <xdr:rowOff>76200</xdr:rowOff>
    </xdr:to>
    <xdr:sp macro="" textlink="">
      <xdr:nvSpPr>
        <xdr:cNvPr id="54818" name="Line 235">
          <a:extLst>
            <a:ext uri="{FF2B5EF4-FFF2-40B4-BE49-F238E27FC236}">
              <a16:creationId xmlns:a16="http://schemas.microsoft.com/office/drawing/2014/main" id="{89A67165-7B7E-43C9-BD3D-62F1BB021090}"/>
            </a:ext>
          </a:extLst>
        </xdr:cNvPr>
        <xdr:cNvSpPr>
          <a:spLocks noChangeShapeType="1"/>
        </xdr:cNvSpPr>
      </xdr:nvSpPr>
      <xdr:spPr bwMode="auto">
        <a:xfrm flipV="1">
          <a:off x="2009775" y="40005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101</xdr:row>
      <xdr:rowOff>57150</xdr:rowOff>
    </xdr:from>
    <xdr:to>
      <xdr:col>26</xdr:col>
      <xdr:colOff>0</xdr:colOff>
      <xdr:row>101</xdr:row>
      <xdr:rowOff>57150</xdr:rowOff>
    </xdr:to>
    <xdr:sp macro="" textlink="">
      <xdr:nvSpPr>
        <xdr:cNvPr id="54819" name="Line 236">
          <a:extLst>
            <a:ext uri="{FF2B5EF4-FFF2-40B4-BE49-F238E27FC236}">
              <a16:creationId xmlns:a16="http://schemas.microsoft.com/office/drawing/2014/main" id="{69991DA9-8354-42AC-B16C-C8E39271AFC9}"/>
            </a:ext>
          </a:extLst>
        </xdr:cNvPr>
        <xdr:cNvSpPr>
          <a:spLocks noChangeShapeType="1"/>
        </xdr:cNvSpPr>
      </xdr:nvSpPr>
      <xdr:spPr bwMode="auto">
        <a:xfrm flipH="1">
          <a:off x="2009775" y="4048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152400</xdr:rowOff>
    </xdr:from>
    <xdr:to>
      <xdr:col>26</xdr:col>
      <xdr:colOff>0</xdr:colOff>
      <xdr:row>30</xdr:row>
      <xdr:rowOff>66675</xdr:rowOff>
    </xdr:to>
    <xdr:sp macro="" textlink="">
      <xdr:nvSpPr>
        <xdr:cNvPr id="54820" name="Line 237">
          <a:extLst>
            <a:ext uri="{FF2B5EF4-FFF2-40B4-BE49-F238E27FC236}">
              <a16:creationId xmlns:a16="http://schemas.microsoft.com/office/drawing/2014/main" id="{5879CCAC-A893-4EC8-86B7-524D0EF81A7F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28575</xdr:rowOff>
    </xdr:to>
    <xdr:sp macro="" textlink="">
      <xdr:nvSpPr>
        <xdr:cNvPr id="54821" name="Arc 238">
          <a:extLst>
            <a:ext uri="{FF2B5EF4-FFF2-40B4-BE49-F238E27FC236}">
              <a16:creationId xmlns:a16="http://schemas.microsoft.com/office/drawing/2014/main" id="{E8A83C88-B6DA-4CBB-A5DD-133755F193B4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47625</xdr:rowOff>
    </xdr:to>
    <xdr:sp macro="" textlink="">
      <xdr:nvSpPr>
        <xdr:cNvPr id="54822" name="Arc 239">
          <a:extLst>
            <a:ext uri="{FF2B5EF4-FFF2-40B4-BE49-F238E27FC236}">
              <a16:creationId xmlns:a16="http://schemas.microsoft.com/office/drawing/2014/main" id="{B84A59EF-38A9-4BC4-8015-2F77D85E4061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28575</xdr:rowOff>
    </xdr:from>
    <xdr:to>
      <xdr:col>28</xdr:col>
      <xdr:colOff>0</xdr:colOff>
      <xdr:row>30</xdr:row>
      <xdr:rowOff>85725</xdr:rowOff>
    </xdr:to>
    <xdr:sp macro="" textlink="">
      <xdr:nvSpPr>
        <xdr:cNvPr id="54823" name="Arc 240">
          <a:extLst>
            <a:ext uri="{FF2B5EF4-FFF2-40B4-BE49-F238E27FC236}">
              <a16:creationId xmlns:a16="http://schemas.microsoft.com/office/drawing/2014/main" id="{15B78E12-F866-4C6E-8C02-DF73CB69E1B2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63</xdr:row>
      <xdr:rowOff>28575</xdr:rowOff>
    </xdr:from>
    <xdr:to>
      <xdr:col>28</xdr:col>
      <xdr:colOff>0</xdr:colOff>
      <xdr:row>63</xdr:row>
      <xdr:rowOff>85725</xdr:rowOff>
    </xdr:to>
    <xdr:sp macro="" textlink="">
      <xdr:nvSpPr>
        <xdr:cNvPr id="54824" name="Line 241">
          <a:extLst>
            <a:ext uri="{FF2B5EF4-FFF2-40B4-BE49-F238E27FC236}">
              <a16:creationId xmlns:a16="http://schemas.microsoft.com/office/drawing/2014/main" id="{F29D5A76-9329-47E1-9F38-ED712CDB18B0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43827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63</xdr:row>
      <xdr:rowOff>9525</xdr:rowOff>
    </xdr:from>
    <xdr:to>
      <xdr:col>28</xdr:col>
      <xdr:colOff>0</xdr:colOff>
      <xdr:row>63</xdr:row>
      <xdr:rowOff>76200</xdr:rowOff>
    </xdr:to>
    <xdr:sp macro="" textlink="">
      <xdr:nvSpPr>
        <xdr:cNvPr id="54825" name="Line 242">
          <a:extLst>
            <a:ext uri="{FF2B5EF4-FFF2-40B4-BE49-F238E27FC236}">
              <a16:creationId xmlns:a16="http://schemas.microsoft.com/office/drawing/2014/main" id="{6DA7B206-AF57-44D2-9339-5054DA743513}"/>
            </a:ext>
          </a:extLst>
        </xdr:cNvPr>
        <xdr:cNvSpPr>
          <a:spLocks noChangeShapeType="1"/>
        </xdr:cNvSpPr>
      </xdr:nvSpPr>
      <xdr:spPr bwMode="auto">
        <a:xfrm flipV="1">
          <a:off x="2009775" y="143637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63</xdr:row>
      <xdr:rowOff>57150</xdr:rowOff>
    </xdr:from>
    <xdr:to>
      <xdr:col>28</xdr:col>
      <xdr:colOff>0</xdr:colOff>
      <xdr:row>63</xdr:row>
      <xdr:rowOff>57150</xdr:rowOff>
    </xdr:to>
    <xdr:sp macro="" textlink="">
      <xdr:nvSpPr>
        <xdr:cNvPr id="54826" name="Line 243">
          <a:extLst>
            <a:ext uri="{FF2B5EF4-FFF2-40B4-BE49-F238E27FC236}">
              <a16:creationId xmlns:a16="http://schemas.microsoft.com/office/drawing/2014/main" id="{F3EABF90-5609-432B-82E5-F7CE26B4984C}"/>
            </a:ext>
          </a:extLst>
        </xdr:cNvPr>
        <xdr:cNvSpPr>
          <a:spLocks noChangeShapeType="1"/>
        </xdr:cNvSpPr>
      </xdr:nvSpPr>
      <xdr:spPr bwMode="auto">
        <a:xfrm flipH="1">
          <a:off x="2009775" y="1441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152400</xdr:rowOff>
    </xdr:from>
    <xdr:to>
      <xdr:col>28</xdr:col>
      <xdr:colOff>0</xdr:colOff>
      <xdr:row>30</xdr:row>
      <xdr:rowOff>66675</xdr:rowOff>
    </xdr:to>
    <xdr:sp macro="" textlink="">
      <xdr:nvSpPr>
        <xdr:cNvPr id="54827" name="Line 244">
          <a:extLst>
            <a:ext uri="{FF2B5EF4-FFF2-40B4-BE49-F238E27FC236}">
              <a16:creationId xmlns:a16="http://schemas.microsoft.com/office/drawing/2014/main" id="{93533EFA-A62D-4741-8A33-B941AC140F80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28575</xdr:rowOff>
    </xdr:to>
    <xdr:sp macro="" textlink="">
      <xdr:nvSpPr>
        <xdr:cNvPr id="54828" name="Arc 245">
          <a:extLst>
            <a:ext uri="{FF2B5EF4-FFF2-40B4-BE49-F238E27FC236}">
              <a16:creationId xmlns:a16="http://schemas.microsoft.com/office/drawing/2014/main" id="{2827FA75-41C1-4DBF-8B90-F624CF68240C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47625</xdr:rowOff>
    </xdr:to>
    <xdr:sp macro="" textlink="">
      <xdr:nvSpPr>
        <xdr:cNvPr id="54829" name="Arc 246">
          <a:extLst>
            <a:ext uri="{FF2B5EF4-FFF2-40B4-BE49-F238E27FC236}">
              <a16:creationId xmlns:a16="http://schemas.microsoft.com/office/drawing/2014/main" id="{FFD3F409-6889-45CC-A4CA-68AB616DF467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28575</xdr:rowOff>
    </xdr:from>
    <xdr:to>
      <xdr:col>32</xdr:col>
      <xdr:colOff>0</xdr:colOff>
      <xdr:row>30</xdr:row>
      <xdr:rowOff>85725</xdr:rowOff>
    </xdr:to>
    <xdr:sp macro="" textlink="">
      <xdr:nvSpPr>
        <xdr:cNvPr id="54830" name="Arc 247">
          <a:extLst>
            <a:ext uri="{FF2B5EF4-FFF2-40B4-BE49-F238E27FC236}">
              <a16:creationId xmlns:a16="http://schemas.microsoft.com/office/drawing/2014/main" id="{7513F8DB-06E2-4F3D-88CB-B778B8752687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67</xdr:row>
      <xdr:rowOff>28575</xdr:rowOff>
    </xdr:from>
    <xdr:to>
      <xdr:col>32</xdr:col>
      <xdr:colOff>0</xdr:colOff>
      <xdr:row>67</xdr:row>
      <xdr:rowOff>85725</xdr:rowOff>
    </xdr:to>
    <xdr:sp macro="" textlink="">
      <xdr:nvSpPr>
        <xdr:cNvPr id="54831" name="Line 248">
          <a:extLst>
            <a:ext uri="{FF2B5EF4-FFF2-40B4-BE49-F238E27FC236}">
              <a16:creationId xmlns:a16="http://schemas.microsoft.com/office/drawing/2014/main" id="{84F7F599-D979-4070-8DF0-DAABDDEE9D9D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906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67</xdr:row>
      <xdr:rowOff>9525</xdr:rowOff>
    </xdr:from>
    <xdr:to>
      <xdr:col>32</xdr:col>
      <xdr:colOff>0</xdr:colOff>
      <xdr:row>67</xdr:row>
      <xdr:rowOff>76200</xdr:rowOff>
    </xdr:to>
    <xdr:sp macro="" textlink="">
      <xdr:nvSpPr>
        <xdr:cNvPr id="54832" name="Line 249">
          <a:extLst>
            <a:ext uri="{FF2B5EF4-FFF2-40B4-BE49-F238E27FC236}">
              <a16:creationId xmlns:a16="http://schemas.microsoft.com/office/drawing/2014/main" id="{09BB44B5-EB24-4459-BF6B-69405E85BCDE}"/>
            </a:ext>
          </a:extLst>
        </xdr:cNvPr>
        <xdr:cNvSpPr>
          <a:spLocks noChangeShapeType="1"/>
        </xdr:cNvSpPr>
      </xdr:nvSpPr>
      <xdr:spPr bwMode="auto">
        <a:xfrm flipV="1">
          <a:off x="2009775" y="15716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67</xdr:row>
      <xdr:rowOff>57150</xdr:rowOff>
    </xdr:from>
    <xdr:to>
      <xdr:col>32</xdr:col>
      <xdr:colOff>0</xdr:colOff>
      <xdr:row>67</xdr:row>
      <xdr:rowOff>57150</xdr:rowOff>
    </xdr:to>
    <xdr:sp macro="" textlink="">
      <xdr:nvSpPr>
        <xdr:cNvPr id="54833" name="Line 250">
          <a:extLst>
            <a:ext uri="{FF2B5EF4-FFF2-40B4-BE49-F238E27FC236}">
              <a16:creationId xmlns:a16="http://schemas.microsoft.com/office/drawing/2014/main" id="{F67330BE-9966-4C63-9F13-4A804B51548A}"/>
            </a:ext>
          </a:extLst>
        </xdr:cNvPr>
        <xdr:cNvSpPr>
          <a:spLocks noChangeShapeType="1"/>
        </xdr:cNvSpPr>
      </xdr:nvSpPr>
      <xdr:spPr bwMode="auto">
        <a:xfrm flipH="1">
          <a:off x="2009775" y="161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152400</xdr:rowOff>
    </xdr:from>
    <xdr:to>
      <xdr:col>32</xdr:col>
      <xdr:colOff>0</xdr:colOff>
      <xdr:row>30</xdr:row>
      <xdr:rowOff>66675</xdr:rowOff>
    </xdr:to>
    <xdr:sp macro="" textlink="">
      <xdr:nvSpPr>
        <xdr:cNvPr id="54834" name="Line 251">
          <a:extLst>
            <a:ext uri="{FF2B5EF4-FFF2-40B4-BE49-F238E27FC236}">
              <a16:creationId xmlns:a16="http://schemas.microsoft.com/office/drawing/2014/main" id="{21B986DE-A74D-4B30-8BF9-C2B10219218F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28575</xdr:rowOff>
    </xdr:to>
    <xdr:sp macro="" textlink="">
      <xdr:nvSpPr>
        <xdr:cNvPr id="54835" name="Arc 252">
          <a:extLst>
            <a:ext uri="{FF2B5EF4-FFF2-40B4-BE49-F238E27FC236}">
              <a16:creationId xmlns:a16="http://schemas.microsoft.com/office/drawing/2014/main" id="{6111F4E6-DDF9-4550-8AF6-21DAB31EC3A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47625</xdr:rowOff>
    </xdr:to>
    <xdr:sp macro="" textlink="">
      <xdr:nvSpPr>
        <xdr:cNvPr id="54836" name="Arc 253">
          <a:extLst>
            <a:ext uri="{FF2B5EF4-FFF2-40B4-BE49-F238E27FC236}">
              <a16:creationId xmlns:a16="http://schemas.microsoft.com/office/drawing/2014/main" id="{F9044FA9-03F0-47AF-9B0B-55C9230E88C4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28575</xdr:rowOff>
    </xdr:from>
    <xdr:to>
      <xdr:col>20</xdr:col>
      <xdr:colOff>0</xdr:colOff>
      <xdr:row>30</xdr:row>
      <xdr:rowOff>85725</xdr:rowOff>
    </xdr:to>
    <xdr:sp macro="" textlink="">
      <xdr:nvSpPr>
        <xdr:cNvPr id="54837" name="Arc 254">
          <a:extLst>
            <a:ext uri="{FF2B5EF4-FFF2-40B4-BE49-F238E27FC236}">
              <a16:creationId xmlns:a16="http://schemas.microsoft.com/office/drawing/2014/main" id="{80352B94-85DF-43D3-9A9A-58E350E6CD56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87</xdr:row>
      <xdr:rowOff>28575</xdr:rowOff>
    </xdr:from>
    <xdr:to>
      <xdr:col>20</xdr:col>
      <xdr:colOff>0</xdr:colOff>
      <xdr:row>87</xdr:row>
      <xdr:rowOff>85725</xdr:rowOff>
    </xdr:to>
    <xdr:sp macro="" textlink="">
      <xdr:nvSpPr>
        <xdr:cNvPr id="54838" name="Line 255">
          <a:extLst>
            <a:ext uri="{FF2B5EF4-FFF2-40B4-BE49-F238E27FC236}">
              <a16:creationId xmlns:a16="http://schemas.microsoft.com/office/drawing/2014/main" id="{AB1B89D5-2C48-4F69-B1D8-91EDEC77C64F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03346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87</xdr:row>
      <xdr:rowOff>9525</xdr:rowOff>
    </xdr:from>
    <xdr:to>
      <xdr:col>20</xdr:col>
      <xdr:colOff>0</xdr:colOff>
      <xdr:row>87</xdr:row>
      <xdr:rowOff>76200</xdr:rowOff>
    </xdr:to>
    <xdr:sp macro="" textlink="">
      <xdr:nvSpPr>
        <xdr:cNvPr id="54839" name="Line 256">
          <a:extLst>
            <a:ext uri="{FF2B5EF4-FFF2-40B4-BE49-F238E27FC236}">
              <a16:creationId xmlns:a16="http://schemas.microsoft.com/office/drawing/2014/main" id="{F731D12F-1BA9-4767-9B75-88EA0D253AC7}"/>
            </a:ext>
          </a:extLst>
        </xdr:cNvPr>
        <xdr:cNvSpPr>
          <a:spLocks noChangeShapeType="1"/>
        </xdr:cNvSpPr>
      </xdr:nvSpPr>
      <xdr:spPr bwMode="auto">
        <a:xfrm flipV="1">
          <a:off x="2009775" y="103155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87</xdr:row>
      <xdr:rowOff>57150</xdr:rowOff>
    </xdr:from>
    <xdr:to>
      <xdr:col>20</xdr:col>
      <xdr:colOff>0</xdr:colOff>
      <xdr:row>87</xdr:row>
      <xdr:rowOff>57150</xdr:rowOff>
    </xdr:to>
    <xdr:sp macro="" textlink="">
      <xdr:nvSpPr>
        <xdr:cNvPr id="54840" name="Line 257">
          <a:extLst>
            <a:ext uri="{FF2B5EF4-FFF2-40B4-BE49-F238E27FC236}">
              <a16:creationId xmlns:a16="http://schemas.microsoft.com/office/drawing/2014/main" id="{47E66B4D-2231-4726-AC44-FAE3BDE75ED9}"/>
            </a:ext>
          </a:extLst>
        </xdr:cNvPr>
        <xdr:cNvSpPr>
          <a:spLocks noChangeShapeType="1"/>
        </xdr:cNvSpPr>
      </xdr:nvSpPr>
      <xdr:spPr bwMode="auto">
        <a:xfrm flipH="1">
          <a:off x="2009775" y="1036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152400</xdr:rowOff>
    </xdr:from>
    <xdr:to>
      <xdr:col>20</xdr:col>
      <xdr:colOff>0</xdr:colOff>
      <xdr:row>30</xdr:row>
      <xdr:rowOff>66675</xdr:rowOff>
    </xdr:to>
    <xdr:sp macro="" textlink="">
      <xdr:nvSpPr>
        <xdr:cNvPr id="54841" name="Line 258">
          <a:extLst>
            <a:ext uri="{FF2B5EF4-FFF2-40B4-BE49-F238E27FC236}">
              <a16:creationId xmlns:a16="http://schemas.microsoft.com/office/drawing/2014/main" id="{8F01782A-E5DA-44B0-9EF5-50E6A72AC027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104775</xdr:colOff>
      <xdr:row>79</xdr:row>
      <xdr:rowOff>19050</xdr:rowOff>
    </xdr:from>
    <xdr:ext cx="3100708" cy="298055"/>
    <xdr:sp macro="" textlink="">
      <xdr:nvSpPr>
        <xdr:cNvPr id="7427" name="Text Box 259">
          <a:extLst>
            <a:ext uri="{FF2B5EF4-FFF2-40B4-BE49-F238E27FC236}">
              <a16:creationId xmlns:a16="http://schemas.microsoft.com/office/drawing/2014/main" id="{1A1C0B54-CEE5-47D7-8C43-A43A8212BBDC}"/>
            </a:ext>
          </a:extLst>
        </xdr:cNvPr>
        <xdr:cNvSpPr txBox="1">
          <a:spLocks noChangeArrowheads="1"/>
        </xdr:cNvSpPr>
      </xdr:nvSpPr>
      <xdr:spPr bwMode="auto">
        <a:xfrm>
          <a:off x="1171575" y="2449830"/>
          <a:ext cx="3096232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classer par ordre alpha colonne A</a:t>
          </a:r>
          <a:endParaRPr lang="fr-FR"/>
        </a:p>
      </xdr:txBody>
    </xdr:sp>
    <xdr:clientData/>
  </xdr:one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28575</xdr:rowOff>
    </xdr:to>
    <xdr:sp macro="" textlink="">
      <xdr:nvSpPr>
        <xdr:cNvPr id="54843" name="Arc 260">
          <a:extLst>
            <a:ext uri="{FF2B5EF4-FFF2-40B4-BE49-F238E27FC236}">
              <a16:creationId xmlns:a16="http://schemas.microsoft.com/office/drawing/2014/main" id="{B3C2FA1B-F66C-459F-9362-8E1DD3AFF2C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47625</xdr:rowOff>
    </xdr:to>
    <xdr:sp macro="" textlink="">
      <xdr:nvSpPr>
        <xdr:cNvPr id="54844" name="Arc 261">
          <a:extLst>
            <a:ext uri="{FF2B5EF4-FFF2-40B4-BE49-F238E27FC236}">
              <a16:creationId xmlns:a16="http://schemas.microsoft.com/office/drawing/2014/main" id="{55D08981-9BCC-4E05-9E56-E37D6D10BA89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28575</xdr:rowOff>
    </xdr:from>
    <xdr:to>
      <xdr:col>22</xdr:col>
      <xdr:colOff>0</xdr:colOff>
      <xdr:row>30</xdr:row>
      <xdr:rowOff>85725</xdr:rowOff>
    </xdr:to>
    <xdr:sp macro="" textlink="">
      <xdr:nvSpPr>
        <xdr:cNvPr id="54845" name="Arc 262">
          <a:extLst>
            <a:ext uri="{FF2B5EF4-FFF2-40B4-BE49-F238E27FC236}">
              <a16:creationId xmlns:a16="http://schemas.microsoft.com/office/drawing/2014/main" id="{3222AECB-D48F-40A0-B723-DA565E04584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81</xdr:row>
      <xdr:rowOff>28575</xdr:rowOff>
    </xdr:from>
    <xdr:to>
      <xdr:col>22</xdr:col>
      <xdr:colOff>0</xdr:colOff>
      <xdr:row>81</xdr:row>
      <xdr:rowOff>85725</xdr:rowOff>
    </xdr:to>
    <xdr:sp macro="" textlink="">
      <xdr:nvSpPr>
        <xdr:cNvPr id="54846" name="Line 263">
          <a:extLst>
            <a:ext uri="{FF2B5EF4-FFF2-40B4-BE49-F238E27FC236}">
              <a16:creationId xmlns:a16="http://schemas.microsoft.com/office/drawing/2014/main" id="{8D6130A2-B2C3-4806-B91A-D7F1F4839011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0676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81</xdr:row>
      <xdr:rowOff>9525</xdr:rowOff>
    </xdr:from>
    <xdr:to>
      <xdr:col>22</xdr:col>
      <xdr:colOff>0</xdr:colOff>
      <xdr:row>81</xdr:row>
      <xdr:rowOff>76200</xdr:rowOff>
    </xdr:to>
    <xdr:sp macro="" textlink="">
      <xdr:nvSpPr>
        <xdr:cNvPr id="54847" name="Line 264">
          <a:extLst>
            <a:ext uri="{FF2B5EF4-FFF2-40B4-BE49-F238E27FC236}">
              <a16:creationId xmlns:a16="http://schemas.microsoft.com/office/drawing/2014/main" id="{41153A13-5812-4370-BE81-AB3D7D6B06C8}"/>
            </a:ext>
          </a:extLst>
        </xdr:cNvPr>
        <xdr:cNvSpPr>
          <a:spLocks noChangeShapeType="1"/>
        </xdr:cNvSpPr>
      </xdr:nvSpPr>
      <xdr:spPr bwMode="auto">
        <a:xfrm flipV="1">
          <a:off x="2009775" y="80486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81</xdr:row>
      <xdr:rowOff>57150</xdr:rowOff>
    </xdr:from>
    <xdr:to>
      <xdr:col>22</xdr:col>
      <xdr:colOff>0</xdr:colOff>
      <xdr:row>81</xdr:row>
      <xdr:rowOff>57150</xdr:rowOff>
    </xdr:to>
    <xdr:sp macro="" textlink="">
      <xdr:nvSpPr>
        <xdr:cNvPr id="54848" name="Line 265">
          <a:extLst>
            <a:ext uri="{FF2B5EF4-FFF2-40B4-BE49-F238E27FC236}">
              <a16:creationId xmlns:a16="http://schemas.microsoft.com/office/drawing/2014/main" id="{2534E1A6-A063-42A8-A43C-672AE5810DCA}"/>
            </a:ext>
          </a:extLst>
        </xdr:cNvPr>
        <xdr:cNvSpPr>
          <a:spLocks noChangeShapeType="1"/>
        </xdr:cNvSpPr>
      </xdr:nvSpPr>
      <xdr:spPr bwMode="auto">
        <a:xfrm flipH="1">
          <a:off x="20097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152400</xdr:rowOff>
    </xdr:from>
    <xdr:to>
      <xdr:col>22</xdr:col>
      <xdr:colOff>0</xdr:colOff>
      <xdr:row>30</xdr:row>
      <xdr:rowOff>66675</xdr:rowOff>
    </xdr:to>
    <xdr:sp macro="" textlink="">
      <xdr:nvSpPr>
        <xdr:cNvPr id="54849" name="Line 266">
          <a:extLst>
            <a:ext uri="{FF2B5EF4-FFF2-40B4-BE49-F238E27FC236}">
              <a16:creationId xmlns:a16="http://schemas.microsoft.com/office/drawing/2014/main" id="{E5FC3B8A-B75D-4C6D-9697-BA56F68432A7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4850" name="Arc 267">
          <a:extLst>
            <a:ext uri="{FF2B5EF4-FFF2-40B4-BE49-F238E27FC236}">
              <a16:creationId xmlns:a16="http://schemas.microsoft.com/office/drawing/2014/main" id="{B3F63292-CD0D-4B41-881F-F18F35B5C549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4851" name="Arc 268">
          <a:extLst>
            <a:ext uri="{FF2B5EF4-FFF2-40B4-BE49-F238E27FC236}">
              <a16:creationId xmlns:a16="http://schemas.microsoft.com/office/drawing/2014/main" id="{57F29C24-9358-4869-BB4A-25BE06044654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4852" name="Arc 269">
          <a:extLst>
            <a:ext uri="{FF2B5EF4-FFF2-40B4-BE49-F238E27FC236}">
              <a16:creationId xmlns:a16="http://schemas.microsoft.com/office/drawing/2014/main" id="{B8778B43-2FDD-4DE0-8F8F-32608BC0E3CE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</xdr:row>
      <xdr:rowOff>28575</xdr:rowOff>
    </xdr:from>
    <xdr:to>
      <xdr:col>18</xdr:col>
      <xdr:colOff>0</xdr:colOff>
      <xdr:row>47</xdr:row>
      <xdr:rowOff>85725</xdr:rowOff>
    </xdr:to>
    <xdr:sp macro="" textlink="">
      <xdr:nvSpPr>
        <xdr:cNvPr id="54853" name="Line 270">
          <a:extLst>
            <a:ext uri="{FF2B5EF4-FFF2-40B4-BE49-F238E27FC236}">
              <a16:creationId xmlns:a16="http://schemas.microsoft.com/office/drawing/2014/main" id="{D58E71A1-EE15-44EE-A5B7-D34C97C948E7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3543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47</xdr:row>
      <xdr:rowOff>9525</xdr:rowOff>
    </xdr:from>
    <xdr:to>
      <xdr:col>18</xdr:col>
      <xdr:colOff>0</xdr:colOff>
      <xdr:row>47</xdr:row>
      <xdr:rowOff>76200</xdr:rowOff>
    </xdr:to>
    <xdr:sp macro="" textlink="">
      <xdr:nvSpPr>
        <xdr:cNvPr id="54854" name="Line 271">
          <a:extLst>
            <a:ext uri="{FF2B5EF4-FFF2-40B4-BE49-F238E27FC236}">
              <a16:creationId xmlns:a16="http://schemas.microsoft.com/office/drawing/2014/main" id="{18CC57DC-3E8C-402A-A60F-DA5C191E003D}"/>
            </a:ext>
          </a:extLst>
        </xdr:cNvPr>
        <xdr:cNvSpPr>
          <a:spLocks noChangeShapeType="1"/>
        </xdr:cNvSpPr>
      </xdr:nvSpPr>
      <xdr:spPr bwMode="auto">
        <a:xfrm flipV="1">
          <a:off x="2009775" y="153352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47</xdr:row>
      <xdr:rowOff>57150</xdr:rowOff>
    </xdr:from>
    <xdr:to>
      <xdr:col>18</xdr:col>
      <xdr:colOff>0</xdr:colOff>
      <xdr:row>47</xdr:row>
      <xdr:rowOff>57150</xdr:rowOff>
    </xdr:to>
    <xdr:sp macro="" textlink="">
      <xdr:nvSpPr>
        <xdr:cNvPr id="54855" name="Line 272">
          <a:extLst>
            <a:ext uri="{FF2B5EF4-FFF2-40B4-BE49-F238E27FC236}">
              <a16:creationId xmlns:a16="http://schemas.microsoft.com/office/drawing/2014/main" id="{0F2B03FA-940B-4C9D-850C-663FBC97842E}"/>
            </a:ext>
          </a:extLst>
        </xdr:cNvPr>
        <xdr:cNvSpPr>
          <a:spLocks noChangeShapeType="1"/>
        </xdr:cNvSpPr>
      </xdr:nvSpPr>
      <xdr:spPr bwMode="auto">
        <a:xfrm flipH="1">
          <a:off x="2009775" y="1538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4856" name="Line 273">
          <a:extLst>
            <a:ext uri="{FF2B5EF4-FFF2-40B4-BE49-F238E27FC236}">
              <a16:creationId xmlns:a16="http://schemas.microsoft.com/office/drawing/2014/main" id="{47696FF1-0F38-4378-B0CB-364B247D5D7F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28575</xdr:rowOff>
    </xdr:to>
    <xdr:sp macro="" textlink="">
      <xdr:nvSpPr>
        <xdr:cNvPr id="54857" name="Arc 274">
          <a:extLst>
            <a:ext uri="{FF2B5EF4-FFF2-40B4-BE49-F238E27FC236}">
              <a16:creationId xmlns:a16="http://schemas.microsoft.com/office/drawing/2014/main" id="{06955860-63C7-4255-9754-96D6903A78A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47625</xdr:rowOff>
    </xdr:to>
    <xdr:sp macro="" textlink="">
      <xdr:nvSpPr>
        <xdr:cNvPr id="54858" name="Arc 275">
          <a:extLst>
            <a:ext uri="{FF2B5EF4-FFF2-40B4-BE49-F238E27FC236}">
              <a16:creationId xmlns:a16="http://schemas.microsoft.com/office/drawing/2014/main" id="{CB6AB7AE-3BE8-4E17-8191-47F855B06458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28575</xdr:rowOff>
    </xdr:from>
    <xdr:to>
      <xdr:col>20</xdr:col>
      <xdr:colOff>0</xdr:colOff>
      <xdr:row>30</xdr:row>
      <xdr:rowOff>85725</xdr:rowOff>
    </xdr:to>
    <xdr:sp macro="" textlink="">
      <xdr:nvSpPr>
        <xdr:cNvPr id="54859" name="Arc 276">
          <a:extLst>
            <a:ext uri="{FF2B5EF4-FFF2-40B4-BE49-F238E27FC236}">
              <a16:creationId xmlns:a16="http://schemas.microsoft.com/office/drawing/2014/main" id="{D2CFCA32-DA82-4D4C-A8D8-5514F07EC6E8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91</xdr:row>
      <xdr:rowOff>28575</xdr:rowOff>
    </xdr:from>
    <xdr:to>
      <xdr:col>20</xdr:col>
      <xdr:colOff>0</xdr:colOff>
      <xdr:row>91</xdr:row>
      <xdr:rowOff>85725</xdr:rowOff>
    </xdr:to>
    <xdr:sp macro="" textlink="">
      <xdr:nvSpPr>
        <xdr:cNvPr id="54860" name="Line 277">
          <a:extLst>
            <a:ext uri="{FF2B5EF4-FFF2-40B4-BE49-F238E27FC236}">
              <a16:creationId xmlns:a16="http://schemas.microsoft.com/office/drawing/2014/main" id="{3BD88F91-E7E0-49D1-9FC4-3C29B8098AA0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9145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91</xdr:row>
      <xdr:rowOff>9525</xdr:rowOff>
    </xdr:from>
    <xdr:to>
      <xdr:col>20</xdr:col>
      <xdr:colOff>0</xdr:colOff>
      <xdr:row>91</xdr:row>
      <xdr:rowOff>76200</xdr:rowOff>
    </xdr:to>
    <xdr:sp macro="" textlink="">
      <xdr:nvSpPr>
        <xdr:cNvPr id="54861" name="Line 278">
          <a:extLst>
            <a:ext uri="{FF2B5EF4-FFF2-40B4-BE49-F238E27FC236}">
              <a16:creationId xmlns:a16="http://schemas.microsoft.com/office/drawing/2014/main" id="{431B82CE-C453-465C-BCFC-704F3FD3808D}"/>
            </a:ext>
          </a:extLst>
        </xdr:cNvPr>
        <xdr:cNvSpPr>
          <a:spLocks noChangeShapeType="1"/>
        </xdr:cNvSpPr>
      </xdr:nvSpPr>
      <xdr:spPr bwMode="auto">
        <a:xfrm flipV="1">
          <a:off x="2009775" y="18954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91</xdr:row>
      <xdr:rowOff>57150</xdr:rowOff>
    </xdr:from>
    <xdr:to>
      <xdr:col>20</xdr:col>
      <xdr:colOff>0</xdr:colOff>
      <xdr:row>91</xdr:row>
      <xdr:rowOff>57150</xdr:rowOff>
    </xdr:to>
    <xdr:sp macro="" textlink="">
      <xdr:nvSpPr>
        <xdr:cNvPr id="54862" name="Line 279">
          <a:extLst>
            <a:ext uri="{FF2B5EF4-FFF2-40B4-BE49-F238E27FC236}">
              <a16:creationId xmlns:a16="http://schemas.microsoft.com/office/drawing/2014/main" id="{02D6C816-FD9A-408D-96BD-6D0FDA624BD5}"/>
            </a:ext>
          </a:extLst>
        </xdr:cNvPr>
        <xdr:cNvSpPr>
          <a:spLocks noChangeShapeType="1"/>
        </xdr:cNvSpPr>
      </xdr:nvSpPr>
      <xdr:spPr bwMode="auto">
        <a:xfrm flipH="1">
          <a:off x="200977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152400</xdr:rowOff>
    </xdr:from>
    <xdr:to>
      <xdr:col>20</xdr:col>
      <xdr:colOff>0</xdr:colOff>
      <xdr:row>30</xdr:row>
      <xdr:rowOff>66675</xdr:rowOff>
    </xdr:to>
    <xdr:sp macro="" textlink="">
      <xdr:nvSpPr>
        <xdr:cNvPr id="54863" name="Line 280">
          <a:extLst>
            <a:ext uri="{FF2B5EF4-FFF2-40B4-BE49-F238E27FC236}">
              <a16:creationId xmlns:a16="http://schemas.microsoft.com/office/drawing/2014/main" id="{E4AC8D72-F843-485B-AB5C-727262C39DE3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87</xdr:row>
      <xdr:rowOff>81915</xdr:rowOff>
    </xdr:from>
    <xdr:ext cx="1863139" cy="282770"/>
    <xdr:sp macro="" textlink="">
      <xdr:nvSpPr>
        <xdr:cNvPr id="7449" name="Text Box 281">
          <a:extLst>
            <a:ext uri="{FF2B5EF4-FFF2-40B4-BE49-F238E27FC236}">
              <a16:creationId xmlns:a16="http://schemas.microsoft.com/office/drawing/2014/main" id="{4CD69801-E89E-481A-83A6-8027CC7ED0E0}"/>
            </a:ext>
          </a:extLst>
        </xdr:cNvPr>
        <xdr:cNvSpPr txBox="1">
          <a:spLocks noChangeArrowheads="1"/>
        </xdr:cNvSpPr>
      </xdr:nvSpPr>
      <xdr:spPr bwMode="auto">
        <a:xfrm>
          <a:off x="1114425" y="10387965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28575</xdr:rowOff>
    </xdr:to>
    <xdr:sp macro="" textlink="">
      <xdr:nvSpPr>
        <xdr:cNvPr id="54865" name="Arc 282">
          <a:extLst>
            <a:ext uri="{FF2B5EF4-FFF2-40B4-BE49-F238E27FC236}">
              <a16:creationId xmlns:a16="http://schemas.microsoft.com/office/drawing/2014/main" id="{0FE0D716-256D-41F2-8A65-0853B3F49BCC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47625</xdr:rowOff>
    </xdr:to>
    <xdr:sp macro="" textlink="">
      <xdr:nvSpPr>
        <xdr:cNvPr id="54866" name="Arc 283">
          <a:extLst>
            <a:ext uri="{FF2B5EF4-FFF2-40B4-BE49-F238E27FC236}">
              <a16:creationId xmlns:a16="http://schemas.microsoft.com/office/drawing/2014/main" id="{E7272AD5-DD53-4C68-A019-C90384EB560A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28575</xdr:rowOff>
    </xdr:from>
    <xdr:to>
      <xdr:col>22</xdr:col>
      <xdr:colOff>0</xdr:colOff>
      <xdr:row>30</xdr:row>
      <xdr:rowOff>85725</xdr:rowOff>
    </xdr:to>
    <xdr:sp macro="" textlink="">
      <xdr:nvSpPr>
        <xdr:cNvPr id="54867" name="Arc 284">
          <a:extLst>
            <a:ext uri="{FF2B5EF4-FFF2-40B4-BE49-F238E27FC236}">
              <a16:creationId xmlns:a16="http://schemas.microsoft.com/office/drawing/2014/main" id="{761D2BDD-FAC1-4B57-A662-3772835A89DC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47</xdr:row>
      <xdr:rowOff>28575</xdr:rowOff>
    </xdr:from>
    <xdr:to>
      <xdr:col>22</xdr:col>
      <xdr:colOff>0</xdr:colOff>
      <xdr:row>47</xdr:row>
      <xdr:rowOff>85725</xdr:rowOff>
    </xdr:to>
    <xdr:sp macro="" textlink="">
      <xdr:nvSpPr>
        <xdr:cNvPr id="54868" name="Line 285">
          <a:extLst>
            <a:ext uri="{FF2B5EF4-FFF2-40B4-BE49-F238E27FC236}">
              <a16:creationId xmlns:a16="http://schemas.microsoft.com/office/drawing/2014/main" id="{B5DC20AD-5633-42BC-80F1-2DA746433EA3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3543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47</xdr:row>
      <xdr:rowOff>9525</xdr:rowOff>
    </xdr:from>
    <xdr:to>
      <xdr:col>22</xdr:col>
      <xdr:colOff>0</xdr:colOff>
      <xdr:row>47</xdr:row>
      <xdr:rowOff>76200</xdr:rowOff>
    </xdr:to>
    <xdr:sp macro="" textlink="">
      <xdr:nvSpPr>
        <xdr:cNvPr id="54869" name="Line 286">
          <a:extLst>
            <a:ext uri="{FF2B5EF4-FFF2-40B4-BE49-F238E27FC236}">
              <a16:creationId xmlns:a16="http://schemas.microsoft.com/office/drawing/2014/main" id="{043B1703-EB5E-432C-97D1-4260B84BD970}"/>
            </a:ext>
          </a:extLst>
        </xdr:cNvPr>
        <xdr:cNvSpPr>
          <a:spLocks noChangeShapeType="1"/>
        </xdr:cNvSpPr>
      </xdr:nvSpPr>
      <xdr:spPr bwMode="auto">
        <a:xfrm flipV="1">
          <a:off x="2009775" y="153352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47</xdr:row>
      <xdr:rowOff>57150</xdr:rowOff>
    </xdr:from>
    <xdr:to>
      <xdr:col>22</xdr:col>
      <xdr:colOff>0</xdr:colOff>
      <xdr:row>47</xdr:row>
      <xdr:rowOff>57150</xdr:rowOff>
    </xdr:to>
    <xdr:sp macro="" textlink="">
      <xdr:nvSpPr>
        <xdr:cNvPr id="54870" name="Line 287">
          <a:extLst>
            <a:ext uri="{FF2B5EF4-FFF2-40B4-BE49-F238E27FC236}">
              <a16:creationId xmlns:a16="http://schemas.microsoft.com/office/drawing/2014/main" id="{ECA49879-BFFE-4833-9CB4-B84C96248ECD}"/>
            </a:ext>
          </a:extLst>
        </xdr:cNvPr>
        <xdr:cNvSpPr>
          <a:spLocks noChangeShapeType="1"/>
        </xdr:cNvSpPr>
      </xdr:nvSpPr>
      <xdr:spPr bwMode="auto">
        <a:xfrm flipH="1">
          <a:off x="2009775" y="1538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152400</xdr:rowOff>
    </xdr:from>
    <xdr:to>
      <xdr:col>22</xdr:col>
      <xdr:colOff>0</xdr:colOff>
      <xdr:row>30</xdr:row>
      <xdr:rowOff>66675</xdr:rowOff>
    </xdr:to>
    <xdr:sp macro="" textlink="">
      <xdr:nvSpPr>
        <xdr:cNvPr id="54871" name="Line 288">
          <a:extLst>
            <a:ext uri="{FF2B5EF4-FFF2-40B4-BE49-F238E27FC236}">
              <a16:creationId xmlns:a16="http://schemas.microsoft.com/office/drawing/2014/main" id="{3C307617-0BC1-4EB4-BC41-2252B282FFCA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28575</xdr:rowOff>
    </xdr:to>
    <xdr:sp macro="" textlink="">
      <xdr:nvSpPr>
        <xdr:cNvPr id="54872" name="Arc 289">
          <a:extLst>
            <a:ext uri="{FF2B5EF4-FFF2-40B4-BE49-F238E27FC236}">
              <a16:creationId xmlns:a16="http://schemas.microsoft.com/office/drawing/2014/main" id="{F1396B7E-0686-41E1-BAB4-52EAB3319EF7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47625</xdr:rowOff>
    </xdr:to>
    <xdr:sp macro="" textlink="">
      <xdr:nvSpPr>
        <xdr:cNvPr id="54873" name="Arc 290">
          <a:extLst>
            <a:ext uri="{FF2B5EF4-FFF2-40B4-BE49-F238E27FC236}">
              <a16:creationId xmlns:a16="http://schemas.microsoft.com/office/drawing/2014/main" id="{DCA56D5E-7EB7-4747-9963-A184507512DE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28575</xdr:rowOff>
    </xdr:from>
    <xdr:to>
      <xdr:col>24</xdr:col>
      <xdr:colOff>0</xdr:colOff>
      <xdr:row>30</xdr:row>
      <xdr:rowOff>85725</xdr:rowOff>
    </xdr:to>
    <xdr:sp macro="" textlink="">
      <xdr:nvSpPr>
        <xdr:cNvPr id="54874" name="Arc 291">
          <a:extLst>
            <a:ext uri="{FF2B5EF4-FFF2-40B4-BE49-F238E27FC236}">
              <a16:creationId xmlns:a16="http://schemas.microsoft.com/office/drawing/2014/main" id="{B2600C5A-BC3A-430B-9B2D-0354C28B08BC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72</xdr:row>
      <xdr:rowOff>28575</xdr:rowOff>
    </xdr:from>
    <xdr:to>
      <xdr:col>24</xdr:col>
      <xdr:colOff>0</xdr:colOff>
      <xdr:row>72</xdr:row>
      <xdr:rowOff>85725</xdr:rowOff>
    </xdr:to>
    <xdr:sp macro="" textlink="">
      <xdr:nvSpPr>
        <xdr:cNvPr id="54875" name="Line 292">
          <a:extLst>
            <a:ext uri="{FF2B5EF4-FFF2-40B4-BE49-F238E27FC236}">
              <a16:creationId xmlns:a16="http://schemas.microsoft.com/office/drawing/2014/main" id="{57042053-768F-4D2F-8419-CE107D0CC4DE}"/>
            </a:ext>
          </a:extLst>
        </xdr:cNvPr>
        <xdr:cNvSpPr>
          <a:spLocks noChangeShapeType="1"/>
        </xdr:cNvSpPr>
      </xdr:nvSpPr>
      <xdr:spPr bwMode="auto">
        <a:xfrm flipH="1" flipV="1">
          <a:off x="2009775" y="58007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72</xdr:row>
      <xdr:rowOff>9525</xdr:rowOff>
    </xdr:from>
    <xdr:to>
      <xdr:col>24</xdr:col>
      <xdr:colOff>0</xdr:colOff>
      <xdr:row>72</xdr:row>
      <xdr:rowOff>76200</xdr:rowOff>
    </xdr:to>
    <xdr:sp macro="" textlink="">
      <xdr:nvSpPr>
        <xdr:cNvPr id="54876" name="Line 293">
          <a:extLst>
            <a:ext uri="{FF2B5EF4-FFF2-40B4-BE49-F238E27FC236}">
              <a16:creationId xmlns:a16="http://schemas.microsoft.com/office/drawing/2014/main" id="{98310DD0-F96B-4B45-9830-5A71DF59C09D}"/>
            </a:ext>
          </a:extLst>
        </xdr:cNvPr>
        <xdr:cNvSpPr>
          <a:spLocks noChangeShapeType="1"/>
        </xdr:cNvSpPr>
      </xdr:nvSpPr>
      <xdr:spPr bwMode="auto">
        <a:xfrm flipV="1">
          <a:off x="2009775" y="57816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72</xdr:row>
      <xdr:rowOff>57150</xdr:rowOff>
    </xdr:from>
    <xdr:to>
      <xdr:col>24</xdr:col>
      <xdr:colOff>0</xdr:colOff>
      <xdr:row>72</xdr:row>
      <xdr:rowOff>57150</xdr:rowOff>
    </xdr:to>
    <xdr:sp macro="" textlink="">
      <xdr:nvSpPr>
        <xdr:cNvPr id="54877" name="Line 294">
          <a:extLst>
            <a:ext uri="{FF2B5EF4-FFF2-40B4-BE49-F238E27FC236}">
              <a16:creationId xmlns:a16="http://schemas.microsoft.com/office/drawing/2014/main" id="{11C35188-6C75-4314-95C2-2E378A5B6DDF}"/>
            </a:ext>
          </a:extLst>
        </xdr:cNvPr>
        <xdr:cNvSpPr>
          <a:spLocks noChangeShapeType="1"/>
        </xdr:cNvSpPr>
      </xdr:nvSpPr>
      <xdr:spPr bwMode="auto">
        <a:xfrm flipH="1">
          <a:off x="2009775" y="582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152400</xdr:rowOff>
    </xdr:from>
    <xdr:to>
      <xdr:col>24</xdr:col>
      <xdr:colOff>0</xdr:colOff>
      <xdr:row>30</xdr:row>
      <xdr:rowOff>66675</xdr:rowOff>
    </xdr:to>
    <xdr:sp macro="" textlink="">
      <xdr:nvSpPr>
        <xdr:cNvPr id="54878" name="Line 295">
          <a:extLst>
            <a:ext uri="{FF2B5EF4-FFF2-40B4-BE49-F238E27FC236}">
              <a16:creationId xmlns:a16="http://schemas.microsoft.com/office/drawing/2014/main" id="{1E56B1CF-7809-4C0A-9175-9B3DC23BD3A7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4879" name="Arc 296">
          <a:extLst>
            <a:ext uri="{FF2B5EF4-FFF2-40B4-BE49-F238E27FC236}">
              <a16:creationId xmlns:a16="http://schemas.microsoft.com/office/drawing/2014/main" id="{06D8515C-6FC1-47E8-A652-1493587ADC63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4880" name="Arc 297">
          <a:extLst>
            <a:ext uri="{FF2B5EF4-FFF2-40B4-BE49-F238E27FC236}">
              <a16:creationId xmlns:a16="http://schemas.microsoft.com/office/drawing/2014/main" id="{78CEAB0A-2BC0-4E71-8821-DB60E555BAC3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4881" name="Arc 298">
          <a:extLst>
            <a:ext uri="{FF2B5EF4-FFF2-40B4-BE49-F238E27FC236}">
              <a16:creationId xmlns:a16="http://schemas.microsoft.com/office/drawing/2014/main" id="{7F61FD1C-DAD2-42A4-81A0-4CE42E02AD75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28575</xdr:rowOff>
    </xdr:from>
    <xdr:to>
      <xdr:col>18</xdr:col>
      <xdr:colOff>0</xdr:colOff>
      <xdr:row>40</xdr:row>
      <xdr:rowOff>85725</xdr:rowOff>
    </xdr:to>
    <xdr:sp macro="" textlink="">
      <xdr:nvSpPr>
        <xdr:cNvPr id="54882" name="Line 299">
          <a:extLst>
            <a:ext uri="{FF2B5EF4-FFF2-40B4-BE49-F238E27FC236}">
              <a16:creationId xmlns:a16="http://schemas.microsoft.com/office/drawing/2014/main" id="{E48FE58D-42A4-4F6F-BD6C-2ADF84D80A4C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38969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9525</xdr:rowOff>
    </xdr:from>
    <xdr:to>
      <xdr:col>18</xdr:col>
      <xdr:colOff>0</xdr:colOff>
      <xdr:row>40</xdr:row>
      <xdr:rowOff>76200</xdr:rowOff>
    </xdr:to>
    <xdr:sp macro="" textlink="">
      <xdr:nvSpPr>
        <xdr:cNvPr id="54883" name="Line 300">
          <a:extLst>
            <a:ext uri="{FF2B5EF4-FFF2-40B4-BE49-F238E27FC236}">
              <a16:creationId xmlns:a16="http://schemas.microsoft.com/office/drawing/2014/main" id="{DAC6A42E-EE07-4EA3-B84F-7F21E2569655}"/>
            </a:ext>
          </a:extLst>
        </xdr:cNvPr>
        <xdr:cNvSpPr>
          <a:spLocks noChangeShapeType="1"/>
        </xdr:cNvSpPr>
      </xdr:nvSpPr>
      <xdr:spPr bwMode="auto">
        <a:xfrm flipV="1">
          <a:off x="2009775" y="138779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40</xdr:row>
      <xdr:rowOff>57150</xdr:rowOff>
    </xdr:from>
    <xdr:to>
      <xdr:col>18</xdr:col>
      <xdr:colOff>0</xdr:colOff>
      <xdr:row>40</xdr:row>
      <xdr:rowOff>57150</xdr:rowOff>
    </xdr:to>
    <xdr:sp macro="" textlink="">
      <xdr:nvSpPr>
        <xdr:cNvPr id="54884" name="Line 301">
          <a:extLst>
            <a:ext uri="{FF2B5EF4-FFF2-40B4-BE49-F238E27FC236}">
              <a16:creationId xmlns:a16="http://schemas.microsoft.com/office/drawing/2014/main" id="{502DAE44-EFA4-4840-9D1B-250648E1F5D0}"/>
            </a:ext>
          </a:extLst>
        </xdr:cNvPr>
        <xdr:cNvSpPr>
          <a:spLocks noChangeShapeType="1"/>
        </xdr:cNvSpPr>
      </xdr:nvSpPr>
      <xdr:spPr bwMode="auto">
        <a:xfrm flipH="1">
          <a:off x="2009775" y="13925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4885" name="Line 302">
          <a:extLst>
            <a:ext uri="{FF2B5EF4-FFF2-40B4-BE49-F238E27FC236}">
              <a16:creationId xmlns:a16="http://schemas.microsoft.com/office/drawing/2014/main" id="{41418672-A9BB-4E16-8F24-BFEF55DF26AB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28575</xdr:rowOff>
    </xdr:to>
    <xdr:sp macro="" textlink="">
      <xdr:nvSpPr>
        <xdr:cNvPr id="54886" name="Arc 303">
          <a:extLst>
            <a:ext uri="{FF2B5EF4-FFF2-40B4-BE49-F238E27FC236}">
              <a16:creationId xmlns:a16="http://schemas.microsoft.com/office/drawing/2014/main" id="{0B1B59E3-4FD0-4FCE-AD54-AEA11D14DBE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47625</xdr:rowOff>
    </xdr:to>
    <xdr:sp macro="" textlink="">
      <xdr:nvSpPr>
        <xdr:cNvPr id="54887" name="Arc 304">
          <a:extLst>
            <a:ext uri="{FF2B5EF4-FFF2-40B4-BE49-F238E27FC236}">
              <a16:creationId xmlns:a16="http://schemas.microsoft.com/office/drawing/2014/main" id="{8BFB9546-EEC4-4C75-BE0C-CAAACBA5B288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28575</xdr:rowOff>
    </xdr:from>
    <xdr:to>
      <xdr:col>20</xdr:col>
      <xdr:colOff>0</xdr:colOff>
      <xdr:row>30</xdr:row>
      <xdr:rowOff>85725</xdr:rowOff>
    </xdr:to>
    <xdr:sp macro="" textlink="">
      <xdr:nvSpPr>
        <xdr:cNvPr id="54888" name="Arc 305">
          <a:extLst>
            <a:ext uri="{FF2B5EF4-FFF2-40B4-BE49-F238E27FC236}">
              <a16:creationId xmlns:a16="http://schemas.microsoft.com/office/drawing/2014/main" id="{0254062F-F7FB-4F2F-BD03-1F822674CDA7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7</xdr:row>
      <xdr:rowOff>28575</xdr:rowOff>
    </xdr:from>
    <xdr:to>
      <xdr:col>20</xdr:col>
      <xdr:colOff>0</xdr:colOff>
      <xdr:row>7</xdr:row>
      <xdr:rowOff>85725</xdr:rowOff>
    </xdr:to>
    <xdr:sp macro="" textlink="">
      <xdr:nvSpPr>
        <xdr:cNvPr id="54889" name="Line 306">
          <a:extLst>
            <a:ext uri="{FF2B5EF4-FFF2-40B4-BE49-F238E27FC236}">
              <a16:creationId xmlns:a16="http://schemas.microsoft.com/office/drawing/2014/main" id="{46D340C6-F88C-45EB-B7D5-0D322EA3419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32099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7</xdr:row>
      <xdr:rowOff>9525</xdr:rowOff>
    </xdr:from>
    <xdr:to>
      <xdr:col>20</xdr:col>
      <xdr:colOff>0</xdr:colOff>
      <xdr:row>7</xdr:row>
      <xdr:rowOff>76200</xdr:rowOff>
    </xdr:to>
    <xdr:sp macro="" textlink="">
      <xdr:nvSpPr>
        <xdr:cNvPr id="54890" name="Line 307">
          <a:extLst>
            <a:ext uri="{FF2B5EF4-FFF2-40B4-BE49-F238E27FC236}">
              <a16:creationId xmlns:a16="http://schemas.microsoft.com/office/drawing/2014/main" id="{E8075044-DB4B-4C37-B596-2E7E8C515FBE}"/>
            </a:ext>
          </a:extLst>
        </xdr:cNvPr>
        <xdr:cNvSpPr>
          <a:spLocks noChangeShapeType="1"/>
        </xdr:cNvSpPr>
      </xdr:nvSpPr>
      <xdr:spPr bwMode="auto">
        <a:xfrm flipV="1">
          <a:off x="2009775" y="31908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7</xdr:row>
      <xdr:rowOff>57150</xdr:rowOff>
    </xdr:from>
    <xdr:to>
      <xdr:col>20</xdr:col>
      <xdr:colOff>0</xdr:colOff>
      <xdr:row>7</xdr:row>
      <xdr:rowOff>57150</xdr:rowOff>
    </xdr:to>
    <xdr:sp macro="" textlink="">
      <xdr:nvSpPr>
        <xdr:cNvPr id="54891" name="Line 308">
          <a:extLst>
            <a:ext uri="{FF2B5EF4-FFF2-40B4-BE49-F238E27FC236}">
              <a16:creationId xmlns:a16="http://schemas.microsoft.com/office/drawing/2014/main" id="{EB2C134F-26EC-449A-AD85-9E704E86EC90}"/>
            </a:ext>
          </a:extLst>
        </xdr:cNvPr>
        <xdr:cNvSpPr>
          <a:spLocks noChangeShapeType="1"/>
        </xdr:cNvSpPr>
      </xdr:nvSpPr>
      <xdr:spPr bwMode="auto">
        <a:xfrm flipH="1">
          <a:off x="2009775" y="323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152400</xdr:rowOff>
    </xdr:from>
    <xdr:to>
      <xdr:col>20</xdr:col>
      <xdr:colOff>0</xdr:colOff>
      <xdr:row>30</xdr:row>
      <xdr:rowOff>66675</xdr:rowOff>
    </xdr:to>
    <xdr:sp macro="" textlink="">
      <xdr:nvSpPr>
        <xdr:cNvPr id="54892" name="Line 309">
          <a:extLst>
            <a:ext uri="{FF2B5EF4-FFF2-40B4-BE49-F238E27FC236}">
              <a16:creationId xmlns:a16="http://schemas.microsoft.com/office/drawing/2014/main" id="{730D2516-49CB-4379-9AE4-685FEF89E4BB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87</xdr:row>
      <xdr:rowOff>81915</xdr:rowOff>
    </xdr:from>
    <xdr:ext cx="1863139" cy="282770"/>
    <xdr:sp macro="" textlink="">
      <xdr:nvSpPr>
        <xdr:cNvPr id="7478" name="Text Box 310">
          <a:extLst>
            <a:ext uri="{FF2B5EF4-FFF2-40B4-BE49-F238E27FC236}">
              <a16:creationId xmlns:a16="http://schemas.microsoft.com/office/drawing/2014/main" id="{20EA2F9B-143A-4A81-A87C-1994E0B5D89B}"/>
            </a:ext>
          </a:extLst>
        </xdr:cNvPr>
        <xdr:cNvSpPr txBox="1">
          <a:spLocks noChangeArrowheads="1"/>
        </xdr:cNvSpPr>
      </xdr:nvSpPr>
      <xdr:spPr bwMode="auto">
        <a:xfrm>
          <a:off x="1114425" y="10387965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28575</xdr:rowOff>
    </xdr:to>
    <xdr:sp macro="" textlink="">
      <xdr:nvSpPr>
        <xdr:cNvPr id="54894" name="Arc 311">
          <a:extLst>
            <a:ext uri="{FF2B5EF4-FFF2-40B4-BE49-F238E27FC236}">
              <a16:creationId xmlns:a16="http://schemas.microsoft.com/office/drawing/2014/main" id="{C6B8FE66-C482-4E5D-9B47-3906242DA3F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47625</xdr:rowOff>
    </xdr:to>
    <xdr:sp macro="" textlink="">
      <xdr:nvSpPr>
        <xdr:cNvPr id="54895" name="Arc 312">
          <a:extLst>
            <a:ext uri="{FF2B5EF4-FFF2-40B4-BE49-F238E27FC236}">
              <a16:creationId xmlns:a16="http://schemas.microsoft.com/office/drawing/2014/main" id="{23E148EA-7018-448D-8AA6-3C38EE94AC5B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28575</xdr:rowOff>
    </xdr:from>
    <xdr:to>
      <xdr:col>22</xdr:col>
      <xdr:colOff>0</xdr:colOff>
      <xdr:row>30</xdr:row>
      <xdr:rowOff>85725</xdr:rowOff>
    </xdr:to>
    <xdr:sp macro="" textlink="">
      <xdr:nvSpPr>
        <xdr:cNvPr id="54896" name="Arc 313">
          <a:extLst>
            <a:ext uri="{FF2B5EF4-FFF2-40B4-BE49-F238E27FC236}">
              <a16:creationId xmlns:a16="http://schemas.microsoft.com/office/drawing/2014/main" id="{8BF96D3F-87A9-49C6-A138-61F0C87453C8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28575</xdr:rowOff>
    </xdr:from>
    <xdr:to>
      <xdr:col>22</xdr:col>
      <xdr:colOff>0</xdr:colOff>
      <xdr:row>40</xdr:row>
      <xdr:rowOff>85725</xdr:rowOff>
    </xdr:to>
    <xdr:sp macro="" textlink="">
      <xdr:nvSpPr>
        <xdr:cNvPr id="54897" name="Line 314">
          <a:extLst>
            <a:ext uri="{FF2B5EF4-FFF2-40B4-BE49-F238E27FC236}">
              <a16:creationId xmlns:a16="http://schemas.microsoft.com/office/drawing/2014/main" id="{860ED78E-E422-4417-AC76-DE2A7156974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38969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9525</xdr:rowOff>
    </xdr:from>
    <xdr:to>
      <xdr:col>22</xdr:col>
      <xdr:colOff>0</xdr:colOff>
      <xdr:row>40</xdr:row>
      <xdr:rowOff>76200</xdr:rowOff>
    </xdr:to>
    <xdr:sp macro="" textlink="">
      <xdr:nvSpPr>
        <xdr:cNvPr id="54898" name="Line 315">
          <a:extLst>
            <a:ext uri="{FF2B5EF4-FFF2-40B4-BE49-F238E27FC236}">
              <a16:creationId xmlns:a16="http://schemas.microsoft.com/office/drawing/2014/main" id="{12023360-54C3-4F43-A8C8-E76D966B2D0A}"/>
            </a:ext>
          </a:extLst>
        </xdr:cNvPr>
        <xdr:cNvSpPr>
          <a:spLocks noChangeShapeType="1"/>
        </xdr:cNvSpPr>
      </xdr:nvSpPr>
      <xdr:spPr bwMode="auto">
        <a:xfrm flipV="1">
          <a:off x="2009775" y="138779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57150</xdr:rowOff>
    </xdr:from>
    <xdr:to>
      <xdr:col>22</xdr:col>
      <xdr:colOff>0</xdr:colOff>
      <xdr:row>40</xdr:row>
      <xdr:rowOff>57150</xdr:rowOff>
    </xdr:to>
    <xdr:sp macro="" textlink="">
      <xdr:nvSpPr>
        <xdr:cNvPr id="54899" name="Line 316">
          <a:extLst>
            <a:ext uri="{FF2B5EF4-FFF2-40B4-BE49-F238E27FC236}">
              <a16:creationId xmlns:a16="http://schemas.microsoft.com/office/drawing/2014/main" id="{8D39B750-B91B-4618-834E-0A80FD662B60}"/>
            </a:ext>
          </a:extLst>
        </xdr:cNvPr>
        <xdr:cNvSpPr>
          <a:spLocks noChangeShapeType="1"/>
        </xdr:cNvSpPr>
      </xdr:nvSpPr>
      <xdr:spPr bwMode="auto">
        <a:xfrm flipH="1">
          <a:off x="2009775" y="13925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152400</xdr:rowOff>
    </xdr:from>
    <xdr:to>
      <xdr:col>22</xdr:col>
      <xdr:colOff>0</xdr:colOff>
      <xdr:row>30</xdr:row>
      <xdr:rowOff>66675</xdr:rowOff>
    </xdr:to>
    <xdr:sp macro="" textlink="">
      <xdr:nvSpPr>
        <xdr:cNvPr id="54900" name="Line 317">
          <a:extLst>
            <a:ext uri="{FF2B5EF4-FFF2-40B4-BE49-F238E27FC236}">
              <a16:creationId xmlns:a16="http://schemas.microsoft.com/office/drawing/2014/main" id="{0830C5B4-1569-4941-93BF-C5A3DE0B1BB5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28575</xdr:rowOff>
    </xdr:to>
    <xdr:sp macro="" textlink="">
      <xdr:nvSpPr>
        <xdr:cNvPr id="54901" name="Arc 318">
          <a:extLst>
            <a:ext uri="{FF2B5EF4-FFF2-40B4-BE49-F238E27FC236}">
              <a16:creationId xmlns:a16="http://schemas.microsoft.com/office/drawing/2014/main" id="{EA9AF7CC-C582-4F7B-8CB8-84B387FCF26B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47625</xdr:rowOff>
    </xdr:to>
    <xdr:sp macro="" textlink="">
      <xdr:nvSpPr>
        <xdr:cNvPr id="54902" name="Arc 319">
          <a:extLst>
            <a:ext uri="{FF2B5EF4-FFF2-40B4-BE49-F238E27FC236}">
              <a16:creationId xmlns:a16="http://schemas.microsoft.com/office/drawing/2014/main" id="{9EDA998C-765B-4889-814A-A5A46141C522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28575</xdr:rowOff>
    </xdr:from>
    <xdr:to>
      <xdr:col>24</xdr:col>
      <xdr:colOff>0</xdr:colOff>
      <xdr:row>30</xdr:row>
      <xdr:rowOff>85725</xdr:rowOff>
    </xdr:to>
    <xdr:sp macro="" textlink="">
      <xdr:nvSpPr>
        <xdr:cNvPr id="54903" name="Arc 320">
          <a:extLst>
            <a:ext uri="{FF2B5EF4-FFF2-40B4-BE49-F238E27FC236}">
              <a16:creationId xmlns:a16="http://schemas.microsoft.com/office/drawing/2014/main" id="{2C178A21-2195-4318-ABE8-CB41C2D6CA34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51</xdr:row>
      <xdr:rowOff>28575</xdr:rowOff>
    </xdr:from>
    <xdr:to>
      <xdr:col>24</xdr:col>
      <xdr:colOff>0</xdr:colOff>
      <xdr:row>51</xdr:row>
      <xdr:rowOff>85725</xdr:rowOff>
    </xdr:to>
    <xdr:sp macro="" textlink="">
      <xdr:nvSpPr>
        <xdr:cNvPr id="54904" name="Line 321">
          <a:extLst>
            <a:ext uri="{FF2B5EF4-FFF2-40B4-BE49-F238E27FC236}">
              <a16:creationId xmlns:a16="http://schemas.microsoft.com/office/drawing/2014/main" id="{E281BACF-1942-4E2E-9D9D-792E6CFED5B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01727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51</xdr:row>
      <xdr:rowOff>9525</xdr:rowOff>
    </xdr:from>
    <xdr:to>
      <xdr:col>24</xdr:col>
      <xdr:colOff>0</xdr:colOff>
      <xdr:row>51</xdr:row>
      <xdr:rowOff>76200</xdr:rowOff>
    </xdr:to>
    <xdr:sp macro="" textlink="">
      <xdr:nvSpPr>
        <xdr:cNvPr id="54905" name="Line 322">
          <a:extLst>
            <a:ext uri="{FF2B5EF4-FFF2-40B4-BE49-F238E27FC236}">
              <a16:creationId xmlns:a16="http://schemas.microsoft.com/office/drawing/2014/main" id="{BBBB5AC1-D824-42B6-B59D-422443C95C44}"/>
            </a:ext>
          </a:extLst>
        </xdr:cNvPr>
        <xdr:cNvSpPr>
          <a:spLocks noChangeShapeType="1"/>
        </xdr:cNvSpPr>
      </xdr:nvSpPr>
      <xdr:spPr bwMode="auto">
        <a:xfrm flipV="1">
          <a:off x="2009775" y="101536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51</xdr:row>
      <xdr:rowOff>57150</xdr:rowOff>
    </xdr:from>
    <xdr:to>
      <xdr:col>24</xdr:col>
      <xdr:colOff>0</xdr:colOff>
      <xdr:row>51</xdr:row>
      <xdr:rowOff>57150</xdr:rowOff>
    </xdr:to>
    <xdr:sp macro="" textlink="">
      <xdr:nvSpPr>
        <xdr:cNvPr id="54906" name="Line 323">
          <a:extLst>
            <a:ext uri="{FF2B5EF4-FFF2-40B4-BE49-F238E27FC236}">
              <a16:creationId xmlns:a16="http://schemas.microsoft.com/office/drawing/2014/main" id="{86E092E5-ACAB-463E-A34C-5B7269FD556C}"/>
            </a:ext>
          </a:extLst>
        </xdr:cNvPr>
        <xdr:cNvSpPr>
          <a:spLocks noChangeShapeType="1"/>
        </xdr:cNvSpPr>
      </xdr:nvSpPr>
      <xdr:spPr bwMode="auto">
        <a:xfrm flipH="1">
          <a:off x="2009775" y="10201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152400</xdr:rowOff>
    </xdr:from>
    <xdr:to>
      <xdr:col>24</xdr:col>
      <xdr:colOff>0</xdr:colOff>
      <xdr:row>30</xdr:row>
      <xdr:rowOff>66675</xdr:rowOff>
    </xdr:to>
    <xdr:sp macro="" textlink="">
      <xdr:nvSpPr>
        <xdr:cNvPr id="54907" name="Line 324">
          <a:extLst>
            <a:ext uri="{FF2B5EF4-FFF2-40B4-BE49-F238E27FC236}">
              <a16:creationId xmlns:a16="http://schemas.microsoft.com/office/drawing/2014/main" id="{E049DEB3-9F55-4D0A-910E-A8A5D93C4932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28575</xdr:rowOff>
    </xdr:to>
    <xdr:sp macro="" textlink="">
      <xdr:nvSpPr>
        <xdr:cNvPr id="54908" name="Arc 325">
          <a:extLst>
            <a:ext uri="{FF2B5EF4-FFF2-40B4-BE49-F238E27FC236}">
              <a16:creationId xmlns:a16="http://schemas.microsoft.com/office/drawing/2014/main" id="{C6C51160-8BC8-485F-A7E8-005C444C54A0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47625</xdr:rowOff>
    </xdr:to>
    <xdr:sp macro="" textlink="">
      <xdr:nvSpPr>
        <xdr:cNvPr id="54909" name="Arc 326">
          <a:extLst>
            <a:ext uri="{FF2B5EF4-FFF2-40B4-BE49-F238E27FC236}">
              <a16:creationId xmlns:a16="http://schemas.microsoft.com/office/drawing/2014/main" id="{6A4C5AF5-B0EE-4AE1-89E3-03AC46E164C1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28575</xdr:rowOff>
    </xdr:from>
    <xdr:to>
      <xdr:col>26</xdr:col>
      <xdr:colOff>0</xdr:colOff>
      <xdr:row>30</xdr:row>
      <xdr:rowOff>85725</xdr:rowOff>
    </xdr:to>
    <xdr:sp macro="" textlink="">
      <xdr:nvSpPr>
        <xdr:cNvPr id="54910" name="Arc 327">
          <a:extLst>
            <a:ext uri="{FF2B5EF4-FFF2-40B4-BE49-F238E27FC236}">
              <a16:creationId xmlns:a16="http://schemas.microsoft.com/office/drawing/2014/main" id="{EFF8ECA6-47F2-4488-8256-21810D5081A2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10</xdr:row>
      <xdr:rowOff>28575</xdr:rowOff>
    </xdr:from>
    <xdr:to>
      <xdr:col>26</xdr:col>
      <xdr:colOff>0</xdr:colOff>
      <xdr:row>10</xdr:row>
      <xdr:rowOff>85725</xdr:rowOff>
    </xdr:to>
    <xdr:sp macro="" textlink="">
      <xdr:nvSpPr>
        <xdr:cNvPr id="54911" name="Line 328">
          <a:extLst>
            <a:ext uri="{FF2B5EF4-FFF2-40B4-BE49-F238E27FC236}">
              <a16:creationId xmlns:a16="http://schemas.microsoft.com/office/drawing/2014/main" id="{3FA63168-8709-4DBF-B8BA-C6E5DC9991F3}"/>
            </a:ext>
          </a:extLst>
        </xdr:cNvPr>
        <xdr:cNvSpPr>
          <a:spLocks noChangeShapeType="1"/>
        </xdr:cNvSpPr>
      </xdr:nvSpPr>
      <xdr:spPr bwMode="auto">
        <a:xfrm flipH="1" flipV="1">
          <a:off x="2009775" y="56388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10</xdr:row>
      <xdr:rowOff>9525</xdr:rowOff>
    </xdr:from>
    <xdr:to>
      <xdr:col>26</xdr:col>
      <xdr:colOff>0</xdr:colOff>
      <xdr:row>10</xdr:row>
      <xdr:rowOff>76200</xdr:rowOff>
    </xdr:to>
    <xdr:sp macro="" textlink="">
      <xdr:nvSpPr>
        <xdr:cNvPr id="54912" name="Line 329">
          <a:extLst>
            <a:ext uri="{FF2B5EF4-FFF2-40B4-BE49-F238E27FC236}">
              <a16:creationId xmlns:a16="http://schemas.microsoft.com/office/drawing/2014/main" id="{DAFAEEBE-3B46-4076-8583-142AD96B78FD}"/>
            </a:ext>
          </a:extLst>
        </xdr:cNvPr>
        <xdr:cNvSpPr>
          <a:spLocks noChangeShapeType="1"/>
        </xdr:cNvSpPr>
      </xdr:nvSpPr>
      <xdr:spPr bwMode="auto">
        <a:xfrm flipV="1">
          <a:off x="2009775" y="56197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10</xdr:row>
      <xdr:rowOff>57150</xdr:rowOff>
    </xdr:from>
    <xdr:to>
      <xdr:col>26</xdr:col>
      <xdr:colOff>0</xdr:colOff>
      <xdr:row>10</xdr:row>
      <xdr:rowOff>57150</xdr:rowOff>
    </xdr:to>
    <xdr:sp macro="" textlink="">
      <xdr:nvSpPr>
        <xdr:cNvPr id="54913" name="Line 330">
          <a:extLst>
            <a:ext uri="{FF2B5EF4-FFF2-40B4-BE49-F238E27FC236}">
              <a16:creationId xmlns:a16="http://schemas.microsoft.com/office/drawing/2014/main" id="{24A18AEA-7971-4467-9DD2-A18CAAC2E218}"/>
            </a:ext>
          </a:extLst>
        </xdr:cNvPr>
        <xdr:cNvSpPr>
          <a:spLocks noChangeShapeType="1"/>
        </xdr:cNvSpPr>
      </xdr:nvSpPr>
      <xdr:spPr bwMode="auto">
        <a:xfrm flipH="1">
          <a:off x="2009775" y="5667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152400</xdr:rowOff>
    </xdr:from>
    <xdr:to>
      <xdr:col>26</xdr:col>
      <xdr:colOff>0</xdr:colOff>
      <xdr:row>30</xdr:row>
      <xdr:rowOff>66675</xdr:rowOff>
    </xdr:to>
    <xdr:sp macro="" textlink="">
      <xdr:nvSpPr>
        <xdr:cNvPr id="54914" name="Line 331">
          <a:extLst>
            <a:ext uri="{FF2B5EF4-FFF2-40B4-BE49-F238E27FC236}">
              <a16:creationId xmlns:a16="http://schemas.microsoft.com/office/drawing/2014/main" id="{CE97CAFE-B2CA-4EF8-9F1A-5B54CCA180EE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28575</xdr:rowOff>
    </xdr:to>
    <xdr:sp macro="" textlink="">
      <xdr:nvSpPr>
        <xdr:cNvPr id="54915" name="Arc 332">
          <a:extLst>
            <a:ext uri="{FF2B5EF4-FFF2-40B4-BE49-F238E27FC236}">
              <a16:creationId xmlns:a16="http://schemas.microsoft.com/office/drawing/2014/main" id="{F0A02508-16E5-4FB5-8D46-31EC1D937573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47625</xdr:rowOff>
    </xdr:to>
    <xdr:sp macro="" textlink="">
      <xdr:nvSpPr>
        <xdr:cNvPr id="54916" name="Arc 333">
          <a:extLst>
            <a:ext uri="{FF2B5EF4-FFF2-40B4-BE49-F238E27FC236}">
              <a16:creationId xmlns:a16="http://schemas.microsoft.com/office/drawing/2014/main" id="{E0CFB1F4-58F3-4AEF-9D8A-34D1CA047DAC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28575</xdr:rowOff>
    </xdr:from>
    <xdr:to>
      <xdr:col>28</xdr:col>
      <xdr:colOff>0</xdr:colOff>
      <xdr:row>30</xdr:row>
      <xdr:rowOff>85725</xdr:rowOff>
    </xdr:to>
    <xdr:sp macro="" textlink="">
      <xdr:nvSpPr>
        <xdr:cNvPr id="54917" name="Arc 334">
          <a:extLst>
            <a:ext uri="{FF2B5EF4-FFF2-40B4-BE49-F238E27FC236}">
              <a16:creationId xmlns:a16="http://schemas.microsoft.com/office/drawing/2014/main" id="{58DB3DEF-E26B-45D8-80AA-BF55ED816F3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99</xdr:row>
      <xdr:rowOff>28575</xdr:rowOff>
    </xdr:from>
    <xdr:to>
      <xdr:col>28</xdr:col>
      <xdr:colOff>0</xdr:colOff>
      <xdr:row>99</xdr:row>
      <xdr:rowOff>85725</xdr:rowOff>
    </xdr:to>
    <xdr:sp macro="" textlink="">
      <xdr:nvSpPr>
        <xdr:cNvPr id="54918" name="Line 335">
          <a:extLst>
            <a:ext uri="{FF2B5EF4-FFF2-40B4-BE49-F238E27FC236}">
              <a16:creationId xmlns:a16="http://schemas.microsoft.com/office/drawing/2014/main" id="{1E5915B8-9031-4FAA-801B-17EDDFC71D8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61245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99</xdr:row>
      <xdr:rowOff>9525</xdr:rowOff>
    </xdr:from>
    <xdr:to>
      <xdr:col>28</xdr:col>
      <xdr:colOff>0</xdr:colOff>
      <xdr:row>99</xdr:row>
      <xdr:rowOff>76200</xdr:rowOff>
    </xdr:to>
    <xdr:sp macro="" textlink="">
      <xdr:nvSpPr>
        <xdr:cNvPr id="54919" name="Line 336">
          <a:extLst>
            <a:ext uri="{FF2B5EF4-FFF2-40B4-BE49-F238E27FC236}">
              <a16:creationId xmlns:a16="http://schemas.microsoft.com/office/drawing/2014/main" id="{405B1B50-A43B-400B-9657-33779B84C751}"/>
            </a:ext>
          </a:extLst>
        </xdr:cNvPr>
        <xdr:cNvSpPr>
          <a:spLocks noChangeShapeType="1"/>
        </xdr:cNvSpPr>
      </xdr:nvSpPr>
      <xdr:spPr bwMode="auto">
        <a:xfrm flipV="1">
          <a:off x="2009775" y="61055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99</xdr:row>
      <xdr:rowOff>57150</xdr:rowOff>
    </xdr:from>
    <xdr:to>
      <xdr:col>28</xdr:col>
      <xdr:colOff>0</xdr:colOff>
      <xdr:row>99</xdr:row>
      <xdr:rowOff>57150</xdr:rowOff>
    </xdr:to>
    <xdr:sp macro="" textlink="">
      <xdr:nvSpPr>
        <xdr:cNvPr id="54920" name="Line 337">
          <a:extLst>
            <a:ext uri="{FF2B5EF4-FFF2-40B4-BE49-F238E27FC236}">
              <a16:creationId xmlns:a16="http://schemas.microsoft.com/office/drawing/2014/main" id="{6A15286D-15A2-4171-98C7-5164C1B0C57F}"/>
            </a:ext>
          </a:extLst>
        </xdr:cNvPr>
        <xdr:cNvSpPr>
          <a:spLocks noChangeShapeType="1"/>
        </xdr:cNvSpPr>
      </xdr:nvSpPr>
      <xdr:spPr bwMode="auto">
        <a:xfrm flipH="1">
          <a:off x="2009775" y="6153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152400</xdr:rowOff>
    </xdr:from>
    <xdr:to>
      <xdr:col>28</xdr:col>
      <xdr:colOff>0</xdr:colOff>
      <xdr:row>30</xdr:row>
      <xdr:rowOff>66675</xdr:rowOff>
    </xdr:to>
    <xdr:sp macro="" textlink="">
      <xdr:nvSpPr>
        <xdr:cNvPr id="54921" name="Line 338">
          <a:extLst>
            <a:ext uri="{FF2B5EF4-FFF2-40B4-BE49-F238E27FC236}">
              <a16:creationId xmlns:a16="http://schemas.microsoft.com/office/drawing/2014/main" id="{AF209C00-018A-49D2-B92E-16838867316C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28575</xdr:rowOff>
    </xdr:to>
    <xdr:sp macro="" textlink="">
      <xdr:nvSpPr>
        <xdr:cNvPr id="54922" name="Arc 339">
          <a:extLst>
            <a:ext uri="{FF2B5EF4-FFF2-40B4-BE49-F238E27FC236}">
              <a16:creationId xmlns:a16="http://schemas.microsoft.com/office/drawing/2014/main" id="{9AB2B204-46F1-4744-9BD2-61A4B6969807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0</xdr:colOff>
      <xdr:row>30</xdr:row>
      <xdr:rowOff>47625</xdr:rowOff>
    </xdr:to>
    <xdr:sp macro="" textlink="">
      <xdr:nvSpPr>
        <xdr:cNvPr id="54923" name="Arc 340">
          <a:extLst>
            <a:ext uri="{FF2B5EF4-FFF2-40B4-BE49-F238E27FC236}">
              <a16:creationId xmlns:a16="http://schemas.microsoft.com/office/drawing/2014/main" id="{646A6189-A908-4F5A-BB5C-6EF591A238D1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28575</xdr:rowOff>
    </xdr:from>
    <xdr:to>
      <xdr:col>18</xdr:col>
      <xdr:colOff>0</xdr:colOff>
      <xdr:row>30</xdr:row>
      <xdr:rowOff>85725</xdr:rowOff>
    </xdr:to>
    <xdr:sp macro="" textlink="">
      <xdr:nvSpPr>
        <xdr:cNvPr id="54924" name="Arc 341">
          <a:extLst>
            <a:ext uri="{FF2B5EF4-FFF2-40B4-BE49-F238E27FC236}">
              <a16:creationId xmlns:a16="http://schemas.microsoft.com/office/drawing/2014/main" id="{DE6D2737-BF39-408F-B483-AC8F3C57B506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28575</xdr:rowOff>
    </xdr:from>
    <xdr:to>
      <xdr:col>18</xdr:col>
      <xdr:colOff>0</xdr:colOff>
      <xdr:row>24</xdr:row>
      <xdr:rowOff>85725</xdr:rowOff>
    </xdr:to>
    <xdr:sp macro="" textlink="">
      <xdr:nvSpPr>
        <xdr:cNvPr id="54925" name="Line 342">
          <a:extLst>
            <a:ext uri="{FF2B5EF4-FFF2-40B4-BE49-F238E27FC236}">
              <a16:creationId xmlns:a16="http://schemas.microsoft.com/office/drawing/2014/main" id="{046D7188-77D0-4DDC-A715-E5E0A0543193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3915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9525</xdr:rowOff>
    </xdr:from>
    <xdr:to>
      <xdr:col>18</xdr:col>
      <xdr:colOff>0</xdr:colOff>
      <xdr:row>24</xdr:row>
      <xdr:rowOff>76200</xdr:rowOff>
    </xdr:to>
    <xdr:sp macro="" textlink="">
      <xdr:nvSpPr>
        <xdr:cNvPr id="54926" name="Line 343">
          <a:extLst>
            <a:ext uri="{FF2B5EF4-FFF2-40B4-BE49-F238E27FC236}">
              <a16:creationId xmlns:a16="http://schemas.microsoft.com/office/drawing/2014/main" id="{162CDACC-F775-4868-B57D-79F0DB49F05E}"/>
            </a:ext>
          </a:extLst>
        </xdr:cNvPr>
        <xdr:cNvSpPr>
          <a:spLocks noChangeShapeType="1"/>
        </xdr:cNvSpPr>
      </xdr:nvSpPr>
      <xdr:spPr bwMode="auto">
        <a:xfrm flipV="1">
          <a:off x="2009775" y="83724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57150</xdr:rowOff>
    </xdr:from>
    <xdr:to>
      <xdr:col>18</xdr:col>
      <xdr:colOff>0</xdr:colOff>
      <xdr:row>24</xdr:row>
      <xdr:rowOff>57150</xdr:rowOff>
    </xdr:to>
    <xdr:sp macro="" textlink="">
      <xdr:nvSpPr>
        <xdr:cNvPr id="54927" name="Line 344">
          <a:extLst>
            <a:ext uri="{FF2B5EF4-FFF2-40B4-BE49-F238E27FC236}">
              <a16:creationId xmlns:a16="http://schemas.microsoft.com/office/drawing/2014/main" id="{A6FE1717-A9E9-4CDD-81D3-459B7C8BEB3A}"/>
            </a:ext>
          </a:extLst>
        </xdr:cNvPr>
        <xdr:cNvSpPr>
          <a:spLocks noChangeShapeType="1"/>
        </xdr:cNvSpPr>
      </xdr:nvSpPr>
      <xdr:spPr bwMode="auto">
        <a:xfrm flipH="1">
          <a:off x="2009775" y="8420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152400</xdr:rowOff>
    </xdr:from>
    <xdr:to>
      <xdr:col>18</xdr:col>
      <xdr:colOff>0</xdr:colOff>
      <xdr:row>30</xdr:row>
      <xdr:rowOff>66675</xdr:rowOff>
    </xdr:to>
    <xdr:sp macro="" textlink="">
      <xdr:nvSpPr>
        <xdr:cNvPr id="54928" name="Line 345">
          <a:extLst>
            <a:ext uri="{FF2B5EF4-FFF2-40B4-BE49-F238E27FC236}">
              <a16:creationId xmlns:a16="http://schemas.microsoft.com/office/drawing/2014/main" id="{FC2A3BE0-B12A-48A4-85E7-2F0DD0C96586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28575</xdr:rowOff>
    </xdr:to>
    <xdr:sp macro="" textlink="">
      <xdr:nvSpPr>
        <xdr:cNvPr id="54929" name="Arc 346">
          <a:extLst>
            <a:ext uri="{FF2B5EF4-FFF2-40B4-BE49-F238E27FC236}">
              <a16:creationId xmlns:a16="http://schemas.microsoft.com/office/drawing/2014/main" id="{81A944EE-794A-4A4C-9401-2E7152C9C7C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47625</xdr:rowOff>
    </xdr:to>
    <xdr:sp macro="" textlink="">
      <xdr:nvSpPr>
        <xdr:cNvPr id="54930" name="Arc 347">
          <a:extLst>
            <a:ext uri="{FF2B5EF4-FFF2-40B4-BE49-F238E27FC236}">
              <a16:creationId xmlns:a16="http://schemas.microsoft.com/office/drawing/2014/main" id="{F09C2063-0F53-4A31-8A5B-B7F1505C14A1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28575</xdr:rowOff>
    </xdr:from>
    <xdr:to>
      <xdr:col>20</xdr:col>
      <xdr:colOff>0</xdr:colOff>
      <xdr:row>30</xdr:row>
      <xdr:rowOff>85725</xdr:rowOff>
    </xdr:to>
    <xdr:sp macro="" textlink="">
      <xdr:nvSpPr>
        <xdr:cNvPr id="54931" name="Arc 348">
          <a:extLst>
            <a:ext uri="{FF2B5EF4-FFF2-40B4-BE49-F238E27FC236}">
              <a16:creationId xmlns:a16="http://schemas.microsoft.com/office/drawing/2014/main" id="{B60D22A5-1034-482A-AC00-D0AEBBFF2F6E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92</xdr:row>
      <xdr:rowOff>28575</xdr:rowOff>
    </xdr:from>
    <xdr:to>
      <xdr:col>20</xdr:col>
      <xdr:colOff>0</xdr:colOff>
      <xdr:row>92</xdr:row>
      <xdr:rowOff>85725</xdr:rowOff>
    </xdr:to>
    <xdr:sp macro="" textlink="">
      <xdr:nvSpPr>
        <xdr:cNvPr id="54932" name="Line 349">
          <a:extLst>
            <a:ext uri="{FF2B5EF4-FFF2-40B4-BE49-F238E27FC236}">
              <a16:creationId xmlns:a16="http://schemas.microsoft.com/office/drawing/2014/main" id="{BA3718CC-5E7D-4970-AB02-18359996CAA6}"/>
            </a:ext>
          </a:extLst>
        </xdr:cNvPr>
        <xdr:cNvSpPr>
          <a:spLocks noChangeShapeType="1"/>
        </xdr:cNvSpPr>
      </xdr:nvSpPr>
      <xdr:spPr bwMode="auto">
        <a:xfrm flipH="1" flipV="1">
          <a:off x="2009775" y="20764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92</xdr:row>
      <xdr:rowOff>9525</xdr:rowOff>
    </xdr:from>
    <xdr:to>
      <xdr:col>20</xdr:col>
      <xdr:colOff>0</xdr:colOff>
      <xdr:row>92</xdr:row>
      <xdr:rowOff>76200</xdr:rowOff>
    </xdr:to>
    <xdr:sp macro="" textlink="">
      <xdr:nvSpPr>
        <xdr:cNvPr id="54933" name="Line 350">
          <a:extLst>
            <a:ext uri="{FF2B5EF4-FFF2-40B4-BE49-F238E27FC236}">
              <a16:creationId xmlns:a16="http://schemas.microsoft.com/office/drawing/2014/main" id="{63B69BA1-472C-4DD4-80A9-8CC8E6D26B61}"/>
            </a:ext>
          </a:extLst>
        </xdr:cNvPr>
        <xdr:cNvSpPr>
          <a:spLocks noChangeShapeType="1"/>
        </xdr:cNvSpPr>
      </xdr:nvSpPr>
      <xdr:spPr bwMode="auto">
        <a:xfrm flipV="1">
          <a:off x="2009775" y="20574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92</xdr:row>
      <xdr:rowOff>57150</xdr:rowOff>
    </xdr:from>
    <xdr:to>
      <xdr:col>20</xdr:col>
      <xdr:colOff>0</xdr:colOff>
      <xdr:row>92</xdr:row>
      <xdr:rowOff>57150</xdr:rowOff>
    </xdr:to>
    <xdr:sp macro="" textlink="">
      <xdr:nvSpPr>
        <xdr:cNvPr id="54934" name="Line 351">
          <a:extLst>
            <a:ext uri="{FF2B5EF4-FFF2-40B4-BE49-F238E27FC236}">
              <a16:creationId xmlns:a16="http://schemas.microsoft.com/office/drawing/2014/main" id="{EE57C90A-8C36-45B0-AE50-B927A2BC8D34}"/>
            </a:ext>
          </a:extLst>
        </xdr:cNvPr>
        <xdr:cNvSpPr>
          <a:spLocks noChangeShapeType="1"/>
        </xdr:cNvSpPr>
      </xdr:nvSpPr>
      <xdr:spPr bwMode="auto">
        <a:xfrm flipH="1">
          <a:off x="2009775" y="210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29</xdr:row>
      <xdr:rowOff>152400</xdr:rowOff>
    </xdr:from>
    <xdr:to>
      <xdr:col>20</xdr:col>
      <xdr:colOff>0</xdr:colOff>
      <xdr:row>30</xdr:row>
      <xdr:rowOff>66675</xdr:rowOff>
    </xdr:to>
    <xdr:sp macro="" textlink="">
      <xdr:nvSpPr>
        <xdr:cNvPr id="54935" name="Line 352">
          <a:extLst>
            <a:ext uri="{FF2B5EF4-FFF2-40B4-BE49-F238E27FC236}">
              <a16:creationId xmlns:a16="http://schemas.microsoft.com/office/drawing/2014/main" id="{F49040B9-E142-476E-85B5-101A175BB3F1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76200</xdr:colOff>
      <xdr:row>87</xdr:row>
      <xdr:rowOff>81915</xdr:rowOff>
    </xdr:from>
    <xdr:ext cx="1863139" cy="282770"/>
    <xdr:sp macro="" textlink="">
      <xdr:nvSpPr>
        <xdr:cNvPr id="7521" name="Text Box 353">
          <a:extLst>
            <a:ext uri="{FF2B5EF4-FFF2-40B4-BE49-F238E27FC236}">
              <a16:creationId xmlns:a16="http://schemas.microsoft.com/office/drawing/2014/main" id="{60ABE992-EA0B-4BD8-9C75-41224964B1CC}"/>
            </a:ext>
          </a:extLst>
        </xdr:cNvPr>
        <xdr:cNvSpPr txBox="1">
          <a:spLocks noChangeArrowheads="1"/>
        </xdr:cNvSpPr>
      </xdr:nvSpPr>
      <xdr:spPr bwMode="auto">
        <a:xfrm>
          <a:off x="1114425" y="10387965"/>
          <a:ext cx="1863139" cy="282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FF0000"/>
              </a:solidFill>
              <a:latin typeface="Arial"/>
              <a:cs typeface="Arial"/>
            </a:rPr>
            <a:t>NE PAS IMPRIMER</a:t>
          </a:r>
          <a:endParaRPr lang="fr-FR"/>
        </a:p>
      </xdr:txBody>
    </xdr:sp>
    <xdr:clientData/>
  </xdr:one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28575</xdr:rowOff>
    </xdr:to>
    <xdr:sp macro="" textlink="">
      <xdr:nvSpPr>
        <xdr:cNvPr id="54937" name="Arc 354">
          <a:extLst>
            <a:ext uri="{FF2B5EF4-FFF2-40B4-BE49-F238E27FC236}">
              <a16:creationId xmlns:a16="http://schemas.microsoft.com/office/drawing/2014/main" id="{C70177F7-2BFE-4A28-95AD-1FD76C2618D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47625</xdr:rowOff>
    </xdr:to>
    <xdr:sp macro="" textlink="">
      <xdr:nvSpPr>
        <xdr:cNvPr id="54938" name="Arc 355">
          <a:extLst>
            <a:ext uri="{FF2B5EF4-FFF2-40B4-BE49-F238E27FC236}">
              <a16:creationId xmlns:a16="http://schemas.microsoft.com/office/drawing/2014/main" id="{FD6CA31E-F838-4B00-A182-7F433E65CC96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28575</xdr:rowOff>
    </xdr:from>
    <xdr:to>
      <xdr:col>22</xdr:col>
      <xdr:colOff>0</xdr:colOff>
      <xdr:row>30</xdr:row>
      <xdr:rowOff>85725</xdr:rowOff>
    </xdr:to>
    <xdr:sp macro="" textlink="">
      <xdr:nvSpPr>
        <xdr:cNvPr id="54939" name="Arc 356">
          <a:extLst>
            <a:ext uri="{FF2B5EF4-FFF2-40B4-BE49-F238E27FC236}">
              <a16:creationId xmlns:a16="http://schemas.microsoft.com/office/drawing/2014/main" id="{7E5E296A-4C06-482A-82C6-40AE2FBECB7E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24</xdr:row>
      <xdr:rowOff>28575</xdr:rowOff>
    </xdr:from>
    <xdr:to>
      <xdr:col>22</xdr:col>
      <xdr:colOff>0</xdr:colOff>
      <xdr:row>24</xdr:row>
      <xdr:rowOff>85725</xdr:rowOff>
    </xdr:to>
    <xdr:sp macro="" textlink="">
      <xdr:nvSpPr>
        <xdr:cNvPr id="54940" name="Line 357">
          <a:extLst>
            <a:ext uri="{FF2B5EF4-FFF2-40B4-BE49-F238E27FC236}">
              <a16:creationId xmlns:a16="http://schemas.microsoft.com/office/drawing/2014/main" id="{7376961E-F141-488C-A397-E2BF87B9A583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3915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24</xdr:row>
      <xdr:rowOff>9525</xdr:rowOff>
    </xdr:from>
    <xdr:to>
      <xdr:col>22</xdr:col>
      <xdr:colOff>0</xdr:colOff>
      <xdr:row>24</xdr:row>
      <xdr:rowOff>76200</xdr:rowOff>
    </xdr:to>
    <xdr:sp macro="" textlink="">
      <xdr:nvSpPr>
        <xdr:cNvPr id="54941" name="Line 358">
          <a:extLst>
            <a:ext uri="{FF2B5EF4-FFF2-40B4-BE49-F238E27FC236}">
              <a16:creationId xmlns:a16="http://schemas.microsoft.com/office/drawing/2014/main" id="{E9F7D6AB-CDD3-46FD-93B8-BACA4234FF2C}"/>
            </a:ext>
          </a:extLst>
        </xdr:cNvPr>
        <xdr:cNvSpPr>
          <a:spLocks noChangeShapeType="1"/>
        </xdr:cNvSpPr>
      </xdr:nvSpPr>
      <xdr:spPr bwMode="auto">
        <a:xfrm flipV="1">
          <a:off x="2009775" y="83724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24</xdr:row>
      <xdr:rowOff>57150</xdr:rowOff>
    </xdr:from>
    <xdr:to>
      <xdr:col>22</xdr:col>
      <xdr:colOff>0</xdr:colOff>
      <xdr:row>24</xdr:row>
      <xdr:rowOff>57150</xdr:rowOff>
    </xdr:to>
    <xdr:sp macro="" textlink="">
      <xdr:nvSpPr>
        <xdr:cNvPr id="54942" name="Line 359">
          <a:extLst>
            <a:ext uri="{FF2B5EF4-FFF2-40B4-BE49-F238E27FC236}">
              <a16:creationId xmlns:a16="http://schemas.microsoft.com/office/drawing/2014/main" id="{FA12AB59-8A9E-4552-9331-55BBEEDBF65D}"/>
            </a:ext>
          </a:extLst>
        </xdr:cNvPr>
        <xdr:cNvSpPr>
          <a:spLocks noChangeShapeType="1"/>
        </xdr:cNvSpPr>
      </xdr:nvSpPr>
      <xdr:spPr bwMode="auto">
        <a:xfrm flipH="1">
          <a:off x="2009775" y="8420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29</xdr:row>
      <xdr:rowOff>152400</xdr:rowOff>
    </xdr:from>
    <xdr:to>
      <xdr:col>22</xdr:col>
      <xdr:colOff>0</xdr:colOff>
      <xdr:row>30</xdr:row>
      <xdr:rowOff>66675</xdr:rowOff>
    </xdr:to>
    <xdr:sp macro="" textlink="">
      <xdr:nvSpPr>
        <xdr:cNvPr id="54943" name="Line 360">
          <a:extLst>
            <a:ext uri="{FF2B5EF4-FFF2-40B4-BE49-F238E27FC236}">
              <a16:creationId xmlns:a16="http://schemas.microsoft.com/office/drawing/2014/main" id="{C5305E08-0B7C-42D3-A594-6AC3A21F957D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28575</xdr:rowOff>
    </xdr:to>
    <xdr:sp macro="" textlink="">
      <xdr:nvSpPr>
        <xdr:cNvPr id="54944" name="Arc 361">
          <a:extLst>
            <a:ext uri="{FF2B5EF4-FFF2-40B4-BE49-F238E27FC236}">
              <a16:creationId xmlns:a16="http://schemas.microsoft.com/office/drawing/2014/main" id="{0DDE3FF0-5EE5-4DF8-92A7-FE4E2A1D686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30</xdr:row>
      <xdr:rowOff>47625</xdr:rowOff>
    </xdr:to>
    <xdr:sp macro="" textlink="">
      <xdr:nvSpPr>
        <xdr:cNvPr id="54945" name="Arc 362">
          <a:extLst>
            <a:ext uri="{FF2B5EF4-FFF2-40B4-BE49-F238E27FC236}">
              <a16:creationId xmlns:a16="http://schemas.microsoft.com/office/drawing/2014/main" id="{4D49FEC6-6805-4E3D-805D-4A6A7F0EEBDE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28575</xdr:rowOff>
    </xdr:from>
    <xdr:to>
      <xdr:col>24</xdr:col>
      <xdr:colOff>0</xdr:colOff>
      <xdr:row>30</xdr:row>
      <xdr:rowOff>85725</xdr:rowOff>
    </xdr:to>
    <xdr:sp macro="" textlink="">
      <xdr:nvSpPr>
        <xdr:cNvPr id="54946" name="Arc 363">
          <a:extLst>
            <a:ext uri="{FF2B5EF4-FFF2-40B4-BE49-F238E27FC236}">
              <a16:creationId xmlns:a16="http://schemas.microsoft.com/office/drawing/2014/main" id="{C35014A4-6CE0-4FEA-BCA9-1D47875AE951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42</xdr:row>
      <xdr:rowOff>28575</xdr:rowOff>
    </xdr:from>
    <xdr:to>
      <xdr:col>24</xdr:col>
      <xdr:colOff>0</xdr:colOff>
      <xdr:row>42</xdr:row>
      <xdr:rowOff>85725</xdr:rowOff>
    </xdr:to>
    <xdr:sp macro="" textlink="">
      <xdr:nvSpPr>
        <xdr:cNvPr id="54947" name="Line 364">
          <a:extLst>
            <a:ext uri="{FF2B5EF4-FFF2-40B4-BE49-F238E27FC236}">
              <a16:creationId xmlns:a16="http://schemas.microsoft.com/office/drawing/2014/main" id="{47F44493-71A1-4C94-9FC8-F82D6AA8824A}"/>
            </a:ext>
          </a:extLst>
        </xdr:cNvPr>
        <xdr:cNvSpPr>
          <a:spLocks noChangeShapeType="1"/>
        </xdr:cNvSpPr>
      </xdr:nvSpPr>
      <xdr:spPr bwMode="auto">
        <a:xfrm flipH="1" flipV="1">
          <a:off x="2009775" y="77438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42</xdr:row>
      <xdr:rowOff>9525</xdr:rowOff>
    </xdr:from>
    <xdr:to>
      <xdr:col>24</xdr:col>
      <xdr:colOff>0</xdr:colOff>
      <xdr:row>42</xdr:row>
      <xdr:rowOff>76200</xdr:rowOff>
    </xdr:to>
    <xdr:sp macro="" textlink="">
      <xdr:nvSpPr>
        <xdr:cNvPr id="54948" name="Line 365">
          <a:extLst>
            <a:ext uri="{FF2B5EF4-FFF2-40B4-BE49-F238E27FC236}">
              <a16:creationId xmlns:a16="http://schemas.microsoft.com/office/drawing/2014/main" id="{C2A5A62D-D93D-402D-AD71-F95B7274E1A3}"/>
            </a:ext>
          </a:extLst>
        </xdr:cNvPr>
        <xdr:cNvSpPr>
          <a:spLocks noChangeShapeType="1"/>
        </xdr:cNvSpPr>
      </xdr:nvSpPr>
      <xdr:spPr bwMode="auto">
        <a:xfrm flipV="1">
          <a:off x="2009775" y="77247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42</xdr:row>
      <xdr:rowOff>57150</xdr:rowOff>
    </xdr:from>
    <xdr:to>
      <xdr:col>24</xdr:col>
      <xdr:colOff>0</xdr:colOff>
      <xdr:row>42</xdr:row>
      <xdr:rowOff>57150</xdr:rowOff>
    </xdr:to>
    <xdr:sp macro="" textlink="">
      <xdr:nvSpPr>
        <xdr:cNvPr id="54949" name="Line 366">
          <a:extLst>
            <a:ext uri="{FF2B5EF4-FFF2-40B4-BE49-F238E27FC236}">
              <a16:creationId xmlns:a16="http://schemas.microsoft.com/office/drawing/2014/main" id="{4E4B0BFD-8C8C-4231-826C-D3932A3DEFA1}"/>
            </a:ext>
          </a:extLst>
        </xdr:cNvPr>
        <xdr:cNvSpPr>
          <a:spLocks noChangeShapeType="1"/>
        </xdr:cNvSpPr>
      </xdr:nvSpPr>
      <xdr:spPr bwMode="auto">
        <a:xfrm flipH="1">
          <a:off x="2009775" y="777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29</xdr:row>
      <xdr:rowOff>152400</xdr:rowOff>
    </xdr:from>
    <xdr:to>
      <xdr:col>24</xdr:col>
      <xdr:colOff>0</xdr:colOff>
      <xdr:row>30</xdr:row>
      <xdr:rowOff>66675</xdr:rowOff>
    </xdr:to>
    <xdr:sp macro="" textlink="">
      <xdr:nvSpPr>
        <xdr:cNvPr id="54950" name="Line 367">
          <a:extLst>
            <a:ext uri="{FF2B5EF4-FFF2-40B4-BE49-F238E27FC236}">
              <a16:creationId xmlns:a16="http://schemas.microsoft.com/office/drawing/2014/main" id="{1C3D1B52-7509-4EE6-8667-EAF1AF74D24F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28575</xdr:rowOff>
    </xdr:to>
    <xdr:sp macro="" textlink="">
      <xdr:nvSpPr>
        <xdr:cNvPr id="54951" name="Arc 368">
          <a:extLst>
            <a:ext uri="{FF2B5EF4-FFF2-40B4-BE49-F238E27FC236}">
              <a16:creationId xmlns:a16="http://schemas.microsoft.com/office/drawing/2014/main" id="{BF9CCEE5-6BE1-44EB-B6C8-CF8B2E626DC4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0</xdr:colOff>
      <xdr:row>30</xdr:row>
      <xdr:rowOff>47625</xdr:rowOff>
    </xdr:to>
    <xdr:sp macro="" textlink="">
      <xdr:nvSpPr>
        <xdr:cNvPr id="54952" name="Arc 369">
          <a:extLst>
            <a:ext uri="{FF2B5EF4-FFF2-40B4-BE49-F238E27FC236}">
              <a16:creationId xmlns:a16="http://schemas.microsoft.com/office/drawing/2014/main" id="{899757C0-D966-4340-BD0D-8778847A77FB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28575</xdr:rowOff>
    </xdr:from>
    <xdr:to>
      <xdr:col>26</xdr:col>
      <xdr:colOff>0</xdr:colOff>
      <xdr:row>30</xdr:row>
      <xdr:rowOff>85725</xdr:rowOff>
    </xdr:to>
    <xdr:sp macro="" textlink="">
      <xdr:nvSpPr>
        <xdr:cNvPr id="54953" name="Arc 370">
          <a:extLst>
            <a:ext uri="{FF2B5EF4-FFF2-40B4-BE49-F238E27FC236}">
              <a16:creationId xmlns:a16="http://schemas.microsoft.com/office/drawing/2014/main" id="{ACE8B6AA-7BBF-4602-805D-419B0F7E94E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81</xdr:row>
      <xdr:rowOff>28575</xdr:rowOff>
    </xdr:from>
    <xdr:to>
      <xdr:col>26</xdr:col>
      <xdr:colOff>0</xdr:colOff>
      <xdr:row>81</xdr:row>
      <xdr:rowOff>85725</xdr:rowOff>
    </xdr:to>
    <xdr:sp macro="" textlink="">
      <xdr:nvSpPr>
        <xdr:cNvPr id="54954" name="Line 371">
          <a:extLst>
            <a:ext uri="{FF2B5EF4-FFF2-40B4-BE49-F238E27FC236}">
              <a16:creationId xmlns:a16="http://schemas.microsoft.com/office/drawing/2014/main" id="{81A74F71-7C17-4DC7-A21D-D9F50D87CA4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0676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81</xdr:row>
      <xdr:rowOff>9525</xdr:rowOff>
    </xdr:from>
    <xdr:to>
      <xdr:col>26</xdr:col>
      <xdr:colOff>0</xdr:colOff>
      <xdr:row>81</xdr:row>
      <xdr:rowOff>76200</xdr:rowOff>
    </xdr:to>
    <xdr:sp macro="" textlink="">
      <xdr:nvSpPr>
        <xdr:cNvPr id="54955" name="Line 372">
          <a:extLst>
            <a:ext uri="{FF2B5EF4-FFF2-40B4-BE49-F238E27FC236}">
              <a16:creationId xmlns:a16="http://schemas.microsoft.com/office/drawing/2014/main" id="{9A9B371A-89CC-4131-B7FA-A7A5BAC788B3}"/>
            </a:ext>
          </a:extLst>
        </xdr:cNvPr>
        <xdr:cNvSpPr>
          <a:spLocks noChangeShapeType="1"/>
        </xdr:cNvSpPr>
      </xdr:nvSpPr>
      <xdr:spPr bwMode="auto">
        <a:xfrm flipV="1">
          <a:off x="2009775" y="80486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81</xdr:row>
      <xdr:rowOff>57150</xdr:rowOff>
    </xdr:from>
    <xdr:to>
      <xdr:col>26</xdr:col>
      <xdr:colOff>0</xdr:colOff>
      <xdr:row>81</xdr:row>
      <xdr:rowOff>57150</xdr:rowOff>
    </xdr:to>
    <xdr:sp macro="" textlink="">
      <xdr:nvSpPr>
        <xdr:cNvPr id="54956" name="Line 373">
          <a:extLst>
            <a:ext uri="{FF2B5EF4-FFF2-40B4-BE49-F238E27FC236}">
              <a16:creationId xmlns:a16="http://schemas.microsoft.com/office/drawing/2014/main" id="{9971C436-C889-42E5-AB33-0826B0699AFE}"/>
            </a:ext>
          </a:extLst>
        </xdr:cNvPr>
        <xdr:cNvSpPr>
          <a:spLocks noChangeShapeType="1"/>
        </xdr:cNvSpPr>
      </xdr:nvSpPr>
      <xdr:spPr bwMode="auto">
        <a:xfrm flipH="1">
          <a:off x="20097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152400</xdr:rowOff>
    </xdr:from>
    <xdr:to>
      <xdr:col>26</xdr:col>
      <xdr:colOff>0</xdr:colOff>
      <xdr:row>30</xdr:row>
      <xdr:rowOff>66675</xdr:rowOff>
    </xdr:to>
    <xdr:sp macro="" textlink="">
      <xdr:nvSpPr>
        <xdr:cNvPr id="54957" name="Line 374">
          <a:extLst>
            <a:ext uri="{FF2B5EF4-FFF2-40B4-BE49-F238E27FC236}">
              <a16:creationId xmlns:a16="http://schemas.microsoft.com/office/drawing/2014/main" id="{9FD51207-1D43-4F4B-B321-A84F837795E8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28575</xdr:rowOff>
    </xdr:to>
    <xdr:sp macro="" textlink="">
      <xdr:nvSpPr>
        <xdr:cNvPr id="54958" name="Arc 375">
          <a:extLst>
            <a:ext uri="{FF2B5EF4-FFF2-40B4-BE49-F238E27FC236}">
              <a16:creationId xmlns:a16="http://schemas.microsoft.com/office/drawing/2014/main" id="{E75B713C-C5DB-431C-B1DF-DEBDF3E5A412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30</xdr:row>
      <xdr:rowOff>47625</xdr:rowOff>
    </xdr:to>
    <xdr:sp macro="" textlink="">
      <xdr:nvSpPr>
        <xdr:cNvPr id="54959" name="Arc 376">
          <a:extLst>
            <a:ext uri="{FF2B5EF4-FFF2-40B4-BE49-F238E27FC236}">
              <a16:creationId xmlns:a16="http://schemas.microsoft.com/office/drawing/2014/main" id="{F5CBD171-5652-4136-9539-17A3D55C2F75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28575</xdr:rowOff>
    </xdr:from>
    <xdr:to>
      <xdr:col>28</xdr:col>
      <xdr:colOff>0</xdr:colOff>
      <xdr:row>30</xdr:row>
      <xdr:rowOff>85725</xdr:rowOff>
    </xdr:to>
    <xdr:sp macro="" textlink="">
      <xdr:nvSpPr>
        <xdr:cNvPr id="54960" name="Arc 377">
          <a:extLst>
            <a:ext uri="{FF2B5EF4-FFF2-40B4-BE49-F238E27FC236}">
              <a16:creationId xmlns:a16="http://schemas.microsoft.com/office/drawing/2014/main" id="{5711073E-1F09-49A1-B444-F9E2A8F2DFD9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27</xdr:row>
      <xdr:rowOff>28575</xdr:rowOff>
    </xdr:from>
    <xdr:to>
      <xdr:col>28</xdr:col>
      <xdr:colOff>0</xdr:colOff>
      <xdr:row>27</xdr:row>
      <xdr:rowOff>85725</xdr:rowOff>
    </xdr:to>
    <xdr:sp macro="" textlink="">
      <xdr:nvSpPr>
        <xdr:cNvPr id="54961" name="Line 378">
          <a:extLst>
            <a:ext uri="{FF2B5EF4-FFF2-40B4-BE49-F238E27FC236}">
              <a16:creationId xmlns:a16="http://schemas.microsoft.com/office/drawing/2014/main" id="{1C1CB360-7080-4DC1-B730-82C8E5A53E37}"/>
            </a:ext>
          </a:extLst>
        </xdr:cNvPr>
        <xdr:cNvSpPr>
          <a:spLocks noChangeShapeType="1"/>
        </xdr:cNvSpPr>
      </xdr:nvSpPr>
      <xdr:spPr bwMode="auto">
        <a:xfrm flipH="1" flipV="1">
          <a:off x="2009775" y="62865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27</xdr:row>
      <xdr:rowOff>9525</xdr:rowOff>
    </xdr:from>
    <xdr:to>
      <xdr:col>28</xdr:col>
      <xdr:colOff>0</xdr:colOff>
      <xdr:row>27</xdr:row>
      <xdr:rowOff>76200</xdr:rowOff>
    </xdr:to>
    <xdr:sp macro="" textlink="">
      <xdr:nvSpPr>
        <xdr:cNvPr id="54962" name="Line 379">
          <a:extLst>
            <a:ext uri="{FF2B5EF4-FFF2-40B4-BE49-F238E27FC236}">
              <a16:creationId xmlns:a16="http://schemas.microsoft.com/office/drawing/2014/main" id="{9B95BB3D-3B63-443C-A098-5322E284A29C}"/>
            </a:ext>
          </a:extLst>
        </xdr:cNvPr>
        <xdr:cNvSpPr>
          <a:spLocks noChangeShapeType="1"/>
        </xdr:cNvSpPr>
      </xdr:nvSpPr>
      <xdr:spPr bwMode="auto">
        <a:xfrm flipV="1">
          <a:off x="2009775" y="62674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27</xdr:row>
      <xdr:rowOff>57150</xdr:rowOff>
    </xdr:from>
    <xdr:to>
      <xdr:col>28</xdr:col>
      <xdr:colOff>0</xdr:colOff>
      <xdr:row>27</xdr:row>
      <xdr:rowOff>57150</xdr:rowOff>
    </xdr:to>
    <xdr:sp macro="" textlink="">
      <xdr:nvSpPr>
        <xdr:cNvPr id="54963" name="Line 380">
          <a:extLst>
            <a:ext uri="{FF2B5EF4-FFF2-40B4-BE49-F238E27FC236}">
              <a16:creationId xmlns:a16="http://schemas.microsoft.com/office/drawing/2014/main" id="{EB62BF93-3908-49DA-97F9-5067860BBF8E}"/>
            </a:ext>
          </a:extLst>
        </xdr:cNvPr>
        <xdr:cNvSpPr>
          <a:spLocks noChangeShapeType="1"/>
        </xdr:cNvSpPr>
      </xdr:nvSpPr>
      <xdr:spPr bwMode="auto">
        <a:xfrm flipH="1">
          <a:off x="2009775" y="6315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152400</xdr:rowOff>
    </xdr:from>
    <xdr:to>
      <xdr:col>28</xdr:col>
      <xdr:colOff>0</xdr:colOff>
      <xdr:row>30</xdr:row>
      <xdr:rowOff>66675</xdr:rowOff>
    </xdr:to>
    <xdr:sp macro="" textlink="">
      <xdr:nvSpPr>
        <xdr:cNvPr id="54964" name="Line 381">
          <a:extLst>
            <a:ext uri="{FF2B5EF4-FFF2-40B4-BE49-F238E27FC236}">
              <a16:creationId xmlns:a16="http://schemas.microsoft.com/office/drawing/2014/main" id="{519D433E-7452-4A6B-869E-B03232A7AA04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29</xdr:row>
      <xdr:rowOff>0</xdr:rowOff>
    </xdr:from>
    <xdr:to>
      <xdr:col>30</xdr:col>
      <xdr:colOff>0</xdr:colOff>
      <xdr:row>30</xdr:row>
      <xdr:rowOff>28575</xdr:rowOff>
    </xdr:to>
    <xdr:sp macro="" textlink="">
      <xdr:nvSpPr>
        <xdr:cNvPr id="54965" name="Arc 382">
          <a:extLst>
            <a:ext uri="{FF2B5EF4-FFF2-40B4-BE49-F238E27FC236}">
              <a16:creationId xmlns:a16="http://schemas.microsoft.com/office/drawing/2014/main" id="{BF47A0A3-AC81-48AA-8441-E1C449EA99BE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29</xdr:row>
      <xdr:rowOff>0</xdr:rowOff>
    </xdr:from>
    <xdr:to>
      <xdr:col>30</xdr:col>
      <xdr:colOff>0</xdr:colOff>
      <xdr:row>30</xdr:row>
      <xdr:rowOff>47625</xdr:rowOff>
    </xdr:to>
    <xdr:sp macro="" textlink="">
      <xdr:nvSpPr>
        <xdr:cNvPr id="54966" name="Arc 383">
          <a:extLst>
            <a:ext uri="{FF2B5EF4-FFF2-40B4-BE49-F238E27FC236}">
              <a16:creationId xmlns:a16="http://schemas.microsoft.com/office/drawing/2014/main" id="{96F10E4A-0BC7-476F-A4F7-CE3683F5B326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29</xdr:row>
      <xdr:rowOff>28575</xdr:rowOff>
    </xdr:from>
    <xdr:to>
      <xdr:col>30</xdr:col>
      <xdr:colOff>0</xdr:colOff>
      <xdr:row>30</xdr:row>
      <xdr:rowOff>85725</xdr:rowOff>
    </xdr:to>
    <xdr:sp macro="" textlink="">
      <xdr:nvSpPr>
        <xdr:cNvPr id="54967" name="Arc 384">
          <a:extLst>
            <a:ext uri="{FF2B5EF4-FFF2-40B4-BE49-F238E27FC236}">
              <a16:creationId xmlns:a16="http://schemas.microsoft.com/office/drawing/2014/main" id="{A82FF932-F3CB-4361-8A2B-AEA38E40B4F1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95</xdr:row>
      <xdr:rowOff>28575</xdr:rowOff>
    </xdr:from>
    <xdr:to>
      <xdr:col>30</xdr:col>
      <xdr:colOff>0</xdr:colOff>
      <xdr:row>95</xdr:row>
      <xdr:rowOff>85725</xdr:rowOff>
    </xdr:to>
    <xdr:sp macro="" textlink="">
      <xdr:nvSpPr>
        <xdr:cNvPr id="54968" name="Line 385">
          <a:extLst>
            <a:ext uri="{FF2B5EF4-FFF2-40B4-BE49-F238E27FC236}">
              <a16:creationId xmlns:a16="http://schemas.microsoft.com/office/drawing/2014/main" id="{65DADD74-A7D0-485F-BEE2-EFAF44D104C2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5162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95</xdr:row>
      <xdr:rowOff>9525</xdr:rowOff>
    </xdr:from>
    <xdr:to>
      <xdr:col>30</xdr:col>
      <xdr:colOff>0</xdr:colOff>
      <xdr:row>95</xdr:row>
      <xdr:rowOff>76200</xdr:rowOff>
    </xdr:to>
    <xdr:sp macro="" textlink="">
      <xdr:nvSpPr>
        <xdr:cNvPr id="54969" name="Line 386">
          <a:extLst>
            <a:ext uri="{FF2B5EF4-FFF2-40B4-BE49-F238E27FC236}">
              <a16:creationId xmlns:a16="http://schemas.microsoft.com/office/drawing/2014/main" id="{2159B417-8AA5-45DB-B091-576E421E82EA}"/>
            </a:ext>
          </a:extLst>
        </xdr:cNvPr>
        <xdr:cNvSpPr>
          <a:spLocks noChangeShapeType="1"/>
        </xdr:cNvSpPr>
      </xdr:nvSpPr>
      <xdr:spPr bwMode="auto">
        <a:xfrm flipV="1">
          <a:off x="2009775" y="154971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95</xdr:row>
      <xdr:rowOff>57150</xdr:rowOff>
    </xdr:from>
    <xdr:to>
      <xdr:col>30</xdr:col>
      <xdr:colOff>0</xdr:colOff>
      <xdr:row>95</xdr:row>
      <xdr:rowOff>57150</xdr:rowOff>
    </xdr:to>
    <xdr:sp macro="" textlink="">
      <xdr:nvSpPr>
        <xdr:cNvPr id="54970" name="Line 387">
          <a:extLst>
            <a:ext uri="{FF2B5EF4-FFF2-40B4-BE49-F238E27FC236}">
              <a16:creationId xmlns:a16="http://schemas.microsoft.com/office/drawing/2014/main" id="{726A9C5F-83F4-45A4-AC2D-F7E5EB59E771}"/>
            </a:ext>
          </a:extLst>
        </xdr:cNvPr>
        <xdr:cNvSpPr>
          <a:spLocks noChangeShapeType="1"/>
        </xdr:cNvSpPr>
      </xdr:nvSpPr>
      <xdr:spPr bwMode="auto">
        <a:xfrm flipH="1">
          <a:off x="2009775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29</xdr:row>
      <xdr:rowOff>152400</xdr:rowOff>
    </xdr:from>
    <xdr:to>
      <xdr:col>30</xdr:col>
      <xdr:colOff>0</xdr:colOff>
      <xdr:row>30</xdr:row>
      <xdr:rowOff>66675</xdr:rowOff>
    </xdr:to>
    <xdr:sp macro="" textlink="">
      <xdr:nvSpPr>
        <xdr:cNvPr id="54971" name="Line 388">
          <a:extLst>
            <a:ext uri="{FF2B5EF4-FFF2-40B4-BE49-F238E27FC236}">
              <a16:creationId xmlns:a16="http://schemas.microsoft.com/office/drawing/2014/main" id="{CFA1B9C1-9D3F-4498-B8AB-2FE064F42A88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28575</xdr:rowOff>
    </xdr:to>
    <xdr:sp macro="" textlink="">
      <xdr:nvSpPr>
        <xdr:cNvPr id="54972" name="Arc 389">
          <a:extLst>
            <a:ext uri="{FF2B5EF4-FFF2-40B4-BE49-F238E27FC236}">
              <a16:creationId xmlns:a16="http://schemas.microsoft.com/office/drawing/2014/main" id="{6740D209-CA23-4AAB-AAC9-AACE325FDDAA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47625</xdr:rowOff>
    </xdr:to>
    <xdr:sp macro="" textlink="">
      <xdr:nvSpPr>
        <xdr:cNvPr id="54973" name="Arc 390">
          <a:extLst>
            <a:ext uri="{FF2B5EF4-FFF2-40B4-BE49-F238E27FC236}">
              <a16:creationId xmlns:a16="http://schemas.microsoft.com/office/drawing/2014/main" id="{B97C5AD8-6A24-4E90-B644-8D3AB2F5D493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28575</xdr:rowOff>
    </xdr:from>
    <xdr:to>
      <xdr:col>32</xdr:col>
      <xdr:colOff>0</xdr:colOff>
      <xdr:row>30</xdr:row>
      <xdr:rowOff>85725</xdr:rowOff>
    </xdr:to>
    <xdr:sp macro="" textlink="">
      <xdr:nvSpPr>
        <xdr:cNvPr id="54974" name="Arc 391">
          <a:extLst>
            <a:ext uri="{FF2B5EF4-FFF2-40B4-BE49-F238E27FC236}">
              <a16:creationId xmlns:a16="http://schemas.microsoft.com/office/drawing/2014/main" id="{3A4650CF-3A59-46C9-96E4-500DE3CBA5C9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37</xdr:row>
      <xdr:rowOff>28575</xdr:rowOff>
    </xdr:from>
    <xdr:to>
      <xdr:col>32</xdr:col>
      <xdr:colOff>0</xdr:colOff>
      <xdr:row>37</xdr:row>
      <xdr:rowOff>85725</xdr:rowOff>
    </xdr:to>
    <xdr:sp macro="" textlink="">
      <xdr:nvSpPr>
        <xdr:cNvPr id="54975" name="Line 392">
          <a:extLst>
            <a:ext uri="{FF2B5EF4-FFF2-40B4-BE49-F238E27FC236}">
              <a16:creationId xmlns:a16="http://schemas.microsoft.com/office/drawing/2014/main" id="{CC5F1647-45C6-4434-AF16-08D755136F95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1923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37</xdr:row>
      <xdr:rowOff>9525</xdr:rowOff>
    </xdr:from>
    <xdr:to>
      <xdr:col>32</xdr:col>
      <xdr:colOff>0</xdr:colOff>
      <xdr:row>37</xdr:row>
      <xdr:rowOff>76200</xdr:rowOff>
    </xdr:to>
    <xdr:sp macro="" textlink="">
      <xdr:nvSpPr>
        <xdr:cNvPr id="54976" name="Line 393">
          <a:extLst>
            <a:ext uri="{FF2B5EF4-FFF2-40B4-BE49-F238E27FC236}">
              <a16:creationId xmlns:a16="http://schemas.microsoft.com/office/drawing/2014/main" id="{8A8FEF27-0483-4A95-A9C3-6263B797E06E}"/>
            </a:ext>
          </a:extLst>
        </xdr:cNvPr>
        <xdr:cNvSpPr>
          <a:spLocks noChangeShapeType="1"/>
        </xdr:cNvSpPr>
      </xdr:nvSpPr>
      <xdr:spPr bwMode="auto">
        <a:xfrm flipV="1">
          <a:off x="2009775" y="151733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37</xdr:row>
      <xdr:rowOff>57150</xdr:rowOff>
    </xdr:from>
    <xdr:to>
      <xdr:col>32</xdr:col>
      <xdr:colOff>0</xdr:colOff>
      <xdr:row>37</xdr:row>
      <xdr:rowOff>57150</xdr:rowOff>
    </xdr:to>
    <xdr:sp macro="" textlink="">
      <xdr:nvSpPr>
        <xdr:cNvPr id="54977" name="Line 394">
          <a:extLst>
            <a:ext uri="{FF2B5EF4-FFF2-40B4-BE49-F238E27FC236}">
              <a16:creationId xmlns:a16="http://schemas.microsoft.com/office/drawing/2014/main" id="{5F3D7A44-423A-4D10-8303-024305BB9CD0}"/>
            </a:ext>
          </a:extLst>
        </xdr:cNvPr>
        <xdr:cNvSpPr>
          <a:spLocks noChangeShapeType="1"/>
        </xdr:cNvSpPr>
      </xdr:nvSpPr>
      <xdr:spPr bwMode="auto">
        <a:xfrm flipH="1">
          <a:off x="2009775" y="15220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152400</xdr:rowOff>
    </xdr:from>
    <xdr:to>
      <xdr:col>32</xdr:col>
      <xdr:colOff>0</xdr:colOff>
      <xdr:row>30</xdr:row>
      <xdr:rowOff>66675</xdr:rowOff>
    </xdr:to>
    <xdr:sp macro="" textlink="">
      <xdr:nvSpPr>
        <xdr:cNvPr id="54978" name="Line 395">
          <a:extLst>
            <a:ext uri="{FF2B5EF4-FFF2-40B4-BE49-F238E27FC236}">
              <a16:creationId xmlns:a16="http://schemas.microsoft.com/office/drawing/2014/main" id="{B41F89EC-AD54-4AAE-A7CB-A0E7724848AF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28575</xdr:rowOff>
    </xdr:to>
    <xdr:sp macro="" textlink="">
      <xdr:nvSpPr>
        <xdr:cNvPr id="54979" name="Arc 396">
          <a:extLst>
            <a:ext uri="{FF2B5EF4-FFF2-40B4-BE49-F238E27FC236}">
              <a16:creationId xmlns:a16="http://schemas.microsoft.com/office/drawing/2014/main" id="{63E7566D-139E-4468-8F41-142BFD633CCF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30</xdr:row>
      <xdr:rowOff>47625</xdr:rowOff>
    </xdr:to>
    <xdr:sp macro="" textlink="">
      <xdr:nvSpPr>
        <xdr:cNvPr id="54980" name="Arc 397">
          <a:extLst>
            <a:ext uri="{FF2B5EF4-FFF2-40B4-BE49-F238E27FC236}">
              <a16:creationId xmlns:a16="http://schemas.microsoft.com/office/drawing/2014/main" id="{C8B90F11-5B43-4FEB-B8DF-5F2FCD6963FF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28575</xdr:rowOff>
    </xdr:from>
    <xdr:to>
      <xdr:col>32</xdr:col>
      <xdr:colOff>0</xdr:colOff>
      <xdr:row>30</xdr:row>
      <xdr:rowOff>85725</xdr:rowOff>
    </xdr:to>
    <xdr:sp macro="" textlink="">
      <xdr:nvSpPr>
        <xdr:cNvPr id="54981" name="Arc 398">
          <a:extLst>
            <a:ext uri="{FF2B5EF4-FFF2-40B4-BE49-F238E27FC236}">
              <a16:creationId xmlns:a16="http://schemas.microsoft.com/office/drawing/2014/main" id="{41AA60A6-866D-4A2A-98D1-EF6C1E42529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37</xdr:row>
      <xdr:rowOff>28575</xdr:rowOff>
    </xdr:from>
    <xdr:to>
      <xdr:col>32</xdr:col>
      <xdr:colOff>0</xdr:colOff>
      <xdr:row>37</xdr:row>
      <xdr:rowOff>85725</xdr:rowOff>
    </xdr:to>
    <xdr:sp macro="" textlink="">
      <xdr:nvSpPr>
        <xdr:cNvPr id="54982" name="Line 399">
          <a:extLst>
            <a:ext uri="{FF2B5EF4-FFF2-40B4-BE49-F238E27FC236}">
              <a16:creationId xmlns:a16="http://schemas.microsoft.com/office/drawing/2014/main" id="{D8844CFE-EE93-4ABC-99C7-B3FC47B9F45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51923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37</xdr:row>
      <xdr:rowOff>9525</xdr:rowOff>
    </xdr:from>
    <xdr:to>
      <xdr:col>32</xdr:col>
      <xdr:colOff>0</xdr:colOff>
      <xdr:row>37</xdr:row>
      <xdr:rowOff>76200</xdr:rowOff>
    </xdr:to>
    <xdr:sp macro="" textlink="">
      <xdr:nvSpPr>
        <xdr:cNvPr id="54983" name="Line 400">
          <a:extLst>
            <a:ext uri="{FF2B5EF4-FFF2-40B4-BE49-F238E27FC236}">
              <a16:creationId xmlns:a16="http://schemas.microsoft.com/office/drawing/2014/main" id="{A15145C4-69E8-4BC7-9217-5A0ECFC66F1E}"/>
            </a:ext>
          </a:extLst>
        </xdr:cNvPr>
        <xdr:cNvSpPr>
          <a:spLocks noChangeShapeType="1"/>
        </xdr:cNvSpPr>
      </xdr:nvSpPr>
      <xdr:spPr bwMode="auto">
        <a:xfrm flipV="1">
          <a:off x="2009775" y="151733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37</xdr:row>
      <xdr:rowOff>57150</xdr:rowOff>
    </xdr:from>
    <xdr:to>
      <xdr:col>32</xdr:col>
      <xdr:colOff>0</xdr:colOff>
      <xdr:row>37</xdr:row>
      <xdr:rowOff>57150</xdr:rowOff>
    </xdr:to>
    <xdr:sp macro="" textlink="">
      <xdr:nvSpPr>
        <xdr:cNvPr id="54984" name="Line 401">
          <a:extLst>
            <a:ext uri="{FF2B5EF4-FFF2-40B4-BE49-F238E27FC236}">
              <a16:creationId xmlns:a16="http://schemas.microsoft.com/office/drawing/2014/main" id="{6E5E8ED7-F741-4E28-8CA7-E3779F510660}"/>
            </a:ext>
          </a:extLst>
        </xdr:cNvPr>
        <xdr:cNvSpPr>
          <a:spLocks noChangeShapeType="1"/>
        </xdr:cNvSpPr>
      </xdr:nvSpPr>
      <xdr:spPr bwMode="auto">
        <a:xfrm flipH="1">
          <a:off x="2009775" y="15220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152400</xdr:rowOff>
    </xdr:from>
    <xdr:to>
      <xdr:col>32</xdr:col>
      <xdr:colOff>0</xdr:colOff>
      <xdr:row>30</xdr:row>
      <xdr:rowOff>66675</xdr:rowOff>
    </xdr:to>
    <xdr:sp macro="" textlink="">
      <xdr:nvSpPr>
        <xdr:cNvPr id="54985" name="Line 402">
          <a:extLst>
            <a:ext uri="{FF2B5EF4-FFF2-40B4-BE49-F238E27FC236}">
              <a16:creationId xmlns:a16="http://schemas.microsoft.com/office/drawing/2014/main" id="{696DC374-A19F-4FFD-8DBC-2C855A8B9086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29</xdr:row>
      <xdr:rowOff>0</xdr:rowOff>
    </xdr:from>
    <xdr:to>
      <xdr:col>34</xdr:col>
      <xdr:colOff>0</xdr:colOff>
      <xdr:row>30</xdr:row>
      <xdr:rowOff>28575</xdr:rowOff>
    </xdr:to>
    <xdr:sp macro="" textlink="">
      <xdr:nvSpPr>
        <xdr:cNvPr id="54986" name="Arc 403">
          <a:extLst>
            <a:ext uri="{FF2B5EF4-FFF2-40B4-BE49-F238E27FC236}">
              <a16:creationId xmlns:a16="http://schemas.microsoft.com/office/drawing/2014/main" id="{8D08AA0B-3B36-4B1A-909F-EF2A3F7C899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29</xdr:row>
      <xdr:rowOff>0</xdr:rowOff>
    </xdr:from>
    <xdr:to>
      <xdr:col>34</xdr:col>
      <xdr:colOff>0</xdr:colOff>
      <xdr:row>30</xdr:row>
      <xdr:rowOff>47625</xdr:rowOff>
    </xdr:to>
    <xdr:sp macro="" textlink="">
      <xdr:nvSpPr>
        <xdr:cNvPr id="54987" name="Arc 404">
          <a:extLst>
            <a:ext uri="{FF2B5EF4-FFF2-40B4-BE49-F238E27FC236}">
              <a16:creationId xmlns:a16="http://schemas.microsoft.com/office/drawing/2014/main" id="{4B272946-E88D-4E30-B22C-2402DFC98631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29</xdr:row>
      <xdr:rowOff>28575</xdr:rowOff>
    </xdr:from>
    <xdr:to>
      <xdr:col>34</xdr:col>
      <xdr:colOff>0</xdr:colOff>
      <xdr:row>30</xdr:row>
      <xdr:rowOff>85725</xdr:rowOff>
    </xdr:to>
    <xdr:sp macro="" textlink="">
      <xdr:nvSpPr>
        <xdr:cNvPr id="54988" name="Arc 405">
          <a:extLst>
            <a:ext uri="{FF2B5EF4-FFF2-40B4-BE49-F238E27FC236}">
              <a16:creationId xmlns:a16="http://schemas.microsoft.com/office/drawing/2014/main" id="{00859B75-B374-4176-AE25-D3850DFF5CF1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28</xdr:row>
      <xdr:rowOff>28575</xdr:rowOff>
    </xdr:from>
    <xdr:to>
      <xdr:col>34</xdr:col>
      <xdr:colOff>0</xdr:colOff>
      <xdr:row>28</xdr:row>
      <xdr:rowOff>85725</xdr:rowOff>
    </xdr:to>
    <xdr:sp macro="" textlink="">
      <xdr:nvSpPr>
        <xdr:cNvPr id="54989" name="Line 406">
          <a:extLst>
            <a:ext uri="{FF2B5EF4-FFF2-40B4-BE49-F238E27FC236}">
              <a16:creationId xmlns:a16="http://schemas.microsoft.com/office/drawing/2014/main" id="{DFA650B5-8A8F-47FF-8A52-2A44E5EC5F2D}"/>
            </a:ext>
          </a:extLst>
        </xdr:cNvPr>
        <xdr:cNvSpPr>
          <a:spLocks noChangeShapeType="1"/>
        </xdr:cNvSpPr>
      </xdr:nvSpPr>
      <xdr:spPr bwMode="auto">
        <a:xfrm flipH="1" flipV="1">
          <a:off x="2009775" y="108204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28</xdr:row>
      <xdr:rowOff>9525</xdr:rowOff>
    </xdr:from>
    <xdr:to>
      <xdr:col>34</xdr:col>
      <xdr:colOff>0</xdr:colOff>
      <xdr:row>28</xdr:row>
      <xdr:rowOff>76200</xdr:rowOff>
    </xdr:to>
    <xdr:sp macro="" textlink="">
      <xdr:nvSpPr>
        <xdr:cNvPr id="54990" name="Line 407">
          <a:extLst>
            <a:ext uri="{FF2B5EF4-FFF2-40B4-BE49-F238E27FC236}">
              <a16:creationId xmlns:a16="http://schemas.microsoft.com/office/drawing/2014/main" id="{0DF5B290-DE91-4C99-8F05-83E7651C5274}"/>
            </a:ext>
          </a:extLst>
        </xdr:cNvPr>
        <xdr:cNvSpPr>
          <a:spLocks noChangeShapeType="1"/>
        </xdr:cNvSpPr>
      </xdr:nvSpPr>
      <xdr:spPr bwMode="auto">
        <a:xfrm flipV="1">
          <a:off x="2009775" y="108013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28</xdr:row>
      <xdr:rowOff>57150</xdr:rowOff>
    </xdr:from>
    <xdr:to>
      <xdr:col>34</xdr:col>
      <xdr:colOff>0</xdr:colOff>
      <xdr:row>28</xdr:row>
      <xdr:rowOff>57150</xdr:rowOff>
    </xdr:to>
    <xdr:sp macro="" textlink="">
      <xdr:nvSpPr>
        <xdr:cNvPr id="54991" name="Line 408">
          <a:extLst>
            <a:ext uri="{FF2B5EF4-FFF2-40B4-BE49-F238E27FC236}">
              <a16:creationId xmlns:a16="http://schemas.microsoft.com/office/drawing/2014/main" id="{F2A4FA05-8A85-4A6C-B2AB-796198D5F4B5}"/>
            </a:ext>
          </a:extLst>
        </xdr:cNvPr>
        <xdr:cNvSpPr>
          <a:spLocks noChangeShapeType="1"/>
        </xdr:cNvSpPr>
      </xdr:nvSpPr>
      <xdr:spPr bwMode="auto">
        <a:xfrm flipH="1">
          <a:off x="2009775" y="10848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29</xdr:row>
      <xdr:rowOff>152400</xdr:rowOff>
    </xdr:from>
    <xdr:to>
      <xdr:col>34</xdr:col>
      <xdr:colOff>0</xdr:colOff>
      <xdr:row>30</xdr:row>
      <xdr:rowOff>66675</xdr:rowOff>
    </xdr:to>
    <xdr:sp macro="" textlink="">
      <xdr:nvSpPr>
        <xdr:cNvPr id="54992" name="Line 409">
          <a:extLst>
            <a:ext uri="{FF2B5EF4-FFF2-40B4-BE49-F238E27FC236}">
              <a16:creationId xmlns:a16="http://schemas.microsoft.com/office/drawing/2014/main" id="{15B07BF4-0551-4C8B-89E5-6591EA866F06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29</xdr:row>
      <xdr:rowOff>0</xdr:rowOff>
    </xdr:from>
    <xdr:to>
      <xdr:col>36</xdr:col>
      <xdr:colOff>0</xdr:colOff>
      <xdr:row>30</xdr:row>
      <xdr:rowOff>28575</xdr:rowOff>
    </xdr:to>
    <xdr:sp macro="" textlink="">
      <xdr:nvSpPr>
        <xdr:cNvPr id="54993" name="Arc 410">
          <a:extLst>
            <a:ext uri="{FF2B5EF4-FFF2-40B4-BE49-F238E27FC236}">
              <a16:creationId xmlns:a16="http://schemas.microsoft.com/office/drawing/2014/main" id="{DB86680B-F782-41C0-92BD-F7F17147A5BF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29</xdr:row>
      <xdr:rowOff>0</xdr:rowOff>
    </xdr:from>
    <xdr:to>
      <xdr:col>36</xdr:col>
      <xdr:colOff>0</xdr:colOff>
      <xdr:row>30</xdr:row>
      <xdr:rowOff>47625</xdr:rowOff>
    </xdr:to>
    <xdr:sp macro="" textlink="">
      <xdr:nvSpPr>
        <xdr:cNvPr id="54994" name="Arc 411">
          <a:extLst>
            <a:ext uri="{FF2B5EF4-FFF2-40B4-BE49-F238E27FC236}">
              <a16:creationId xmlns:a16="http://schemas.microsoft.com/office/drawing/2014/main" id="{621AA081-E709-4C2D-9EE7-020DD17D9F31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29</xdr:row>
      <xdr:rowOff>28575</xdr:rowOff>
    </xdr:from>
    <xdr:to>
      <xdr:col>36</xdr:col>
      <xdr:colOff>0</xdr:colOff>
      <xdr:row>30</xdr:row>
      <xdr:rowOff>85725</xdr:rowOff>
    </xdr:to>
    <xdr:sp macro="" textlink="">
      <xdr:nvSpPr>
        <xdr:cNvPr id="54995" name="Arc 412">
          <a:extLst>
            <a:ext uri="{FF2B5EF4-FFF2-40B4-BE49-F238E27FC236}">
              <a16:creationId xmlns:a16="http://schemas.microsoft.com/office/drawing/2014/main" id="{2DB94986-7181-4D70-9791-9E959C338C0D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72</xdr:row>
      <xdr:rowOff>28575</xdr:rowOff>
    </xdr:from>
    <xdr:to>
      <xdr:col>36</xdr:col>
      <xdr:colOff>0</xdr:colOff>
      <xdr:row>72</xdr:row>
      <xdr:rowOff>85725</xdr:rowOff>
    </xdr:to>
    <xdr:sp macro="" textlink="">
      <xdr:nvSpPr>
        <xdr:cNvPr id="54996" name="Line 413">
          <a:extLst>
            <a:ext uri="{FF2B5EF4-FFF2-40B4-BE49-F238E27FC236}">
              <a16:creationId xmlns:a16="http://schemas.microsoft.com/office/drawing/2014/main" id="{6EBE934D-6347-4AED-B1A2-359D83994F5C}"/>
            </a:ext>
          </a:extLst>
        </xdr:cNvPr>
        <xdr:cNvSpPr>
          <a:spLocks noChangeShapeType="1"/>
        </xdr:cNvSpPr>
      </xdr:nvSpPr>
      <xdr:spPr bwMode="auto">
        <a:xfrm flipH="1" flipV="1">
          <a:off x="2009775" y="58007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72</xdr:row>
      <xdr:rowOff>9525</xdr:rowOff>
    </xdr:from>
    <xdr:to>
      <xdr:col>36</xdr:col>
      <xdr:colOff>0</xdr:colOff>
      <xdr:row>72</xdr:row>
      <xdr:rowOff>76200</xdr:rowOff>
    </xdr:to>
    <xdr:sp macro="" textlink="">
      <xdr:nvSpPr>
        <xdr:cNvPr id="54997" name="Line 414">
          <a:extLst>
            <a:ext uri="{FF2B5EF4-FFF2-40B4-BE49-F238E27FC236}">
              <a16:creationId xmlns:a16="http://schemas.microsoft.com/office/drawing/2014/main" id="{F1F1197F-74AB-4559-B995-28769AE79A33}"/>
            </a:ext>
          </a:extLst>
        </xdr:cNvPr>
        <xdr:cNvSpPr>
          <a:spLocks noChangeShapeType="1"/>
        </xdr:cNvSpPr>
      </xdr:nvSpPr>
      <xdr:spPr bwMode="auto">
        <a:xfrm flipV="1">
          <a:off x="2009775" y="57816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72</xdr:row>
      <xdr:rowOff>57150</xdr:rowOff>
    </xdr:from>
    <xdr:to>
      <xdr:col>36</xdr:col>
      <xdr:colOff>0</xdr:colOff>
      <xdr:row>72</xdr:row>
      <xdr:rowOff>57150</xdr:rowOff>
    </xdr:to>
    <xdr:sp macro="" textlink="">
      <xdr:nvSpPr>
        <xdr:cNvPr id="54998" name="Line 415">
          <a:extLst>
            <a:ext uri="{FF2B5EF4-FFF2-40B4-BE49-F238E27FC236}">
              <a16:creationId xmlns:a16="http://schemas.microsoft.com/office/drawing/2014/main" id="{D5971AE5-04C1-4FC6-B1A6-910687938A90}"/>
            </a:ext>
          </a:extLst>
        </xdr:cNvPr>
        <xdr:cNvSpPr>
          <a:spLocks noChangeShapeType="1"/>
        </xdr:cNvSpPr>
      </xdr:nvSpPr>
      <xdr:spPr bwMode="auto">
        <a:xfrm flipH="1">
          <a:off x="2009775" y="582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29</xdr:row>
      <xdr:rowOff>152400</xdr:rowOff>
    </xdr:from>
    <xdr:to>
      <xdr:col>36</xdr:col>
      <xdr:colOff>0</xdr:colOff>
      <xdr:row>30</xdr:row>
      <xdr:rowOff>66675</xdr:rowOff>
    </xdr:to>
    <xdr:sp macro="" textlink="">
      <xdr:nvSpPr>
        <xdr:cNvPr id="54999" name="Line 416">
          <a:extLst>
            <a:ext uri="{FF2B5EF4-FFF2-40B4-BE49-F238E27FC236}">
              <a16:creationId xmlns:a16="http://schemas.microsoft.com/office/drawing/2014/main" id="{65269259-A766-4316-9003-EFE1BB56B9CB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29</xdr:row>
      <xdr:rowOff>0</xdr:rowOff>
    </xdr:from>
    <xdr:to>
      <xdr:col>36</xdr:col>
      <xdr:colOff>0</xdr:colOff>
      <xdr:row>30</xdr:row>
      <xdr:rowOff>28575</xdr:rowOff>
    </xdr:to>
    <xdr:sp macro="" textlink="">
      <xdr:nvSpPr>
        <xdr:cNvPr id="55000" name="Arc 417">
          <a:extLst>
            <a:ext uri="{FF2B5EF4-FFF2-40B4-BE49-F238E27FC236}">
              <a16:creationId xmlns:a16="http://schemas.microsoft.com/office/drawing/2014/main" id="{59172B1B-63F4-43A7-815C-583AEB946D78}"/>
            </a:ext>
          </a:extLst>
        </xdr:cNvPr>
        <xdr:cNvSpPr>
          <a:spLocks/>
        </xdr:cNvSpPr>
      </xdr:nvSpPr>
      <xdr:spPr bwMode="auto">
        <a:xfrm flipH="1">
          <a:off x="20097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29</xdr:row>
      <xdr:rowOff>0</xdr:rowOff>
    </xdr:from>
    <xdr:to>
      <xdr:col>36</xdr:col>
      <xdr:colOff>0</xdr:colOff>
      <xdr:row>30</xdr:row>
      <xdr:rowOff>47625</xdr:rowOff>
    </xdr:to>
    <xdr:sp macro="" textlink="">
      <xdr:nvSpPr>
        <xdr:cNvPr id="55001" name="Arc 418">
          <a:extLst>
            <a:ext uri="{FF2B5EF4-FFF2-40B4-BE49-F238E27FC236}">
              <a16:creationId xmlns:a16="http://schemas.microsoft.com/office/drawing/2014/main" id="{CDD3C3F5-361C-41F5-B2EB-DEA658D8ECCB}"/>
            </a:ext>
          </a:extLst>
        </xdr:cNvPr>
        <xdr:cNvSpPr>
          <a:spLocks/>
        </xdr:cNvSpPr>
      </xdr:nvSpPr>
      <xdr:spPr bwMode="auto">
        <a:xfrm>
          <a:off x="20097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29</xdr:row>
      <xdr:rowOff>28575</xdr:rowOff>
    </xdr:from>
    <xdr:to>
      <xdr:col>36</xdr:col>
      <xdr:colOff>0</xdr:colOff>
      <xdr:row>30</xdr:row>
      <xdr:rowOff>85725</xdr:rowOff>
    </xdr:to>
    <xdr:sp macro="" textlink="">
      <xdr:nvSpPr>
        <xdr:cNvPr id="55002" name="Arc 419">
          <a:extLst>
            <a:ext uri="{FF2B5EF4-FFF2-40B4-BE49-F238E27FC236}">
              <a16:creationId xmlns:a16="http://schemas.microsoft.com/office/drawing/2014/main" id="{4E863067-E220-4FCB-9278-819D82B9B520}"/>
            </a:ext>
          </a:extLst>
        </xdr:cNvPr>
        <xdr:cNvSpPr>
          <a:spLocks/>
        </xdr:cNvSpPr>
      </xdr:nvSpPr>
      <xdr:spPr bwMode="auto">
        <a:xfrm>
          <a:off x="20097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41</xdr:row>
      <xdr:rowOff>28575</xdr:rowOff>
    </xdr:from>
    <xdr:to>
      <xdr:col>36</xdr:col>
      <xdr:colOff>0</xdr:colOff>
      <xdr:row>41</xdr:row>
      <xdr:rowOff>85725</xdr:rowOff>
    </xdr:to>
    <xdr:sp macro="" textlink="">
      <xdr:nvSpPr>
        <xdr:cNvPr id="55003" name="Line 420">
          <a:extLst>
            <a:ext uri="{FF2B5EF4-FFF2-40B4-BE49-F238E27FC236}">
              <a16:creationId xmlns:a16="http://schemas.microsoft.com/office/drawing/2014/main" id="{2CAA9019-A8A4-4B80-8A43-03DCB1C5FA12}"/>
            </a:ext>
          </a:extLst>
        </xdr:cNvPr>
        <xdr:cNvSpPr>
          <a:spLocks noChangeShapeType="1"/>
        </xdr:cNvSpPr>
      </xdr:nvSpPr>
      <xdr:spPr bwMode="auto">
        <a:xfrm flipH="1" flipV="1">
          <a:off x="2009775" y="88773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41</xdr:row>
      <xdr:rowOff>9525</xdr:rowOff>
    </xdr:from>
    <xdr:to>
      <xdr:col>36</xdr:col>
      <xdr:colOff>0</xdr:colOff>
      <xdr:row>41</xdr:row>
      <xdr:rowOff>76200</xdr:rowOff>
    </xdr:to>
    <xdr:sp macro="" textlink="">
      <xdr:nvSpPr>
        <xdr:cNvPr id="55004" name="Line 421">
          <a:extLst>
            <a:ext uri="{FF2B5EF4-FFF2-40B4-BE49-F238E27FC236}">
              <a16:creationId xmlns:a16="http://schemas.microsoft.com/office/drawing/2014/main" id="{AD5ACD3C-ED13-419B-9FCD-5C3D82E2002F}"/>
            </a:ext>
          </a:extLst>
        </xdr:cNvPr>
        <xdr:cNvSpPr>
          <a:spLocks noChangeShapeType="1"/>
        </xdr:cNvSpPr>
      </xdr:nvSpPr>
      <xdr:spPr bwMode="auto">
        <a:xfrm flipV="1">
          <a:off x="2009775" y="88582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41</xdr:row>
      <xdr:rowOff>57150</xdr:rowOff>
    </xdr:from>
    <xdr:to>
      <xdr:col>36</xdr:col>
      <xdr:colOff>0</xdr:colOff>
      <xdr:row>41</xdr:row>
      <xdr:rowOff>57150</xdr:rowOff>
    </xdr:to>
    <xdr:sp macro="" textlink="">
      <xdr:nvSpPr>
        <xdr:cNvPr id="55005" name="Line 422">
          <a:extLst>
            <a:ext uri="{FF2B5EF4-FFF2-40B4-BE49-F238E27FC236}">
              <a16:creationId xmlns:a16="http://schemas.microsoft.com/office/drawing/2014/main" id="{8F773D56-16DC-4A59-8B1D-A74FF7649A89}"/>
            </a:ext>
          </a:extLst>
        </xdr:cNvPr>
        <xdr:cNvSpPr>
          <a:spLocks noChangeShapeType="1"/>
        </xdr:cNvSpPr>
      </xdr:nvSpPr>
      <xdr:spPr bwMode="auto">
        <a:xfrm flipH="1">
          <a:off x="2009775" y="890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29</xdr:row>
      <xdr:rowOff>152400</xdr:rowOff>
    </xdr:from>
    <xdr:to>
      <xdr:col>36</xdr:col>
      <xdr:colOff>0</xdr:colOff>
      <xdr:row>30</xdr:row>
      <xdr:rowOff>66675</xdr:rowOff>
    </xdr:to>
    <xdr:sp macro="" textlink="">
      <xdr:nvSpPr>
        <xdr:cNvPr id="55006" name="Line 423">
          <a:extLst>
            <a:ext uri="{FF2B5EF4-FFF2-40B4-BE49-F238E27FC236}">
              <a16:creationId xmlns:a16="http://schemas.microsoft.com/office/drawing/2014/main" id="{7AB2A893-DCA6-463A-9A9F-D4F774E2FC21}"/>
            </a:ext>
          </a:extLst>
        </xdr:cNvPr>
        <xdr:cNvSpPr>
          <a:spLocks noChangeShapeType="1"/>
        </xdr:cNvSpPr>
      </xdr:nvSpPr>
      <xdr:spPr bwMode="auto">
        <a:xfrm flipV="1">
          <a:off x="20097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30</xdr:row>
      <xdr:rowOff>0</xdr:rowOff>
    </xdr:from>
    <xdr:to>
      <xdr:col>36</xdr:col>
      <xdr:colOff>0</xdr:colOff>
      <xdr:row>31</xdr:row>
      <xdr:rowOff>28575</xdr:rowOff>
    </xdr:to>
    <xdr:sp macro="" textlink="">
      <xdr:nvSpPr>
        <xdr:cNvPr id="55007" name="Arc 424">
          <a:extLst>
            <a:ext uri="{FF2B5EF4-FFF2-40B4-BE49-F238E27FC236}">
              <a16:creationId xmlns:a16="http://schemas.microsoft.com/office/drawing/2014/main" id="{4F4F75C1-A172-4C70-9CC0-9EFF8EFB1A45}"/>
            </a:ext>
          </a:extLst>
        </xdr:cNvPr>
        <xdr:cNvSpPr>
          <a:spLocks/>
        </xdr:cNvSpPr>
      </xdr:nvSpPr>
      <xdr:spPr bwMode="auto">
        <a:xfrm flipH="1">
          <a:off x="20097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30</xdr:row>
      <xdr:rowOff>0</xdr:rowOff>
    </xdr:from>
    <xdr:to>
      <xdr:col>36</xdr:col>
      <xdr:colOff>0</xdr:colOff>
      <xdr:row>31</xdr:row>
      <xdr:rowOff>47625</xdr:rowOff>
    </xdr:to>
    <xdr:sp macro="" textlink="">
      <xdr:nvSpPr>
        <xdr:cNvPr id="55008" name="Arc 425">
          <a:extLst>
            <a:ext uri="{FF2B5EF4-FFF2-40B4-BE49-F238E27FC236}">
              <a16:creationId xmlns:a16="http://schemas.microsoft.com/office/drawing/2014/main" id="{CF3145A8-AF89-406E-9722-EE7670692BAF}"/>
            </a:ext>
          </a:extLst>
        </xdr:cNvPr>
        <xdr:cNvSpPr>
          <a:spLocks/>
        </xdr:cNvSpPr>
      </xdr:nvSpPr>
      <xdr:spPr bwMode="auto">
        <a:xfrm>
          <a:off x="20097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30</xdr:row>
      <xdr:rowOff>28575</xdr:rowOff>
    </xdr:from>
    <xdr:to>
      <xdr:col>36</xdr:col>
      <xdr:colOff>0</xdr:colOff>
      <xdr:row>31</xdr:row>
      <xdr:rowOff>85725</xdr:rowOff>
    </xdr:to>
    <xdr:sp macro="" textlink="">
      <xdr:nvSpPr>
        <xdr:cNvPr id="55009" name="Arc 426">
          <a:extLst>
            <a:ext uri="{FF2B5EF4-FFF2-40B4-BE49-F238E27FC236}">
              <a16:creationId xmlns:a16="http://schemas.microsoft.com/office/drawing/2014/main" id="{5B4D81E0-5BCA-4EC1-803F-D274DED10142}"/>
            </a:ext>
          </a:extLst>
        </xdr:cNvPr>
        <xdr:cNvSpPr>
          <a:spLocks/>
        </xdr:cNvSpPr>
      </xdr:nvSpPr>
      <xdr:spPr bwMode="auto">
        <a:xfrm>
          <a:off x="20097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53</xdr:row>
      <xdr:rowOff>28575</xdr:rowOff>
    </xdr:from>
    <xdr:to>
      <xdr:col>36</xdr:col>
      <xdr:colOff>0</xdr:colOff>
      <xdr:row>53</xdr:row>
      <xdr:rowOff>85725</xdr:rowOff>
    </xdr:to>
    <xdr:sp macro="" textlink="">
      <xdr:nvSpPr>
        <xdr:cNvPr id="55010" name="Line 427">
          <a:extLst>
            <a:ext uri="{FF2B5EF4-FFF2-40B4-BE49-F238E27FC236}">
              <a16:creationId xmlns:a16="http://schemas.microsoft.com/office/drawing/2014/main" id="{541DA5CC-51A6-49F9-8BD1-9F4BAFB9BA4E}"/>
            </a:ext>
          </a:extLst>
        </xdr:cNvPr>
        <xdr:cNvSpPr>
          <a:spLocks noChangeShapeType="1"/>
        </xdr:cNvSpPr>
      </xdr:nvSpPr>
      <xdr:spPr bwMode="auto">
        <a:xfrm flipH="1" flipV="1">
          <a:off x="2009775" y="53149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53</xdr:row>
      <xdr:rowOff>9525</xdr:rowOff>
    </xdr:from>
    <xdr:to>
      <xdr:col>36</xdr:col>
      <xdr:colOff>0</xdr:colOff>
      <xdr:row>53</xdr:row>
      <xdr:rowOff>76200</xdr:rowOff>
    </xdr:to>
    <xdr:sp macro="" textlink="">
      <xdr:nvSpPr>
        <xdr:cNvPr id="55011" name="Line 428">
          <a:extLst>
            <a:ext uri="{FF2B5EF4-FFF2-40B4-BE49-F238E27FC236}">
              <a16:creationId xmlns:a16="http://schemas.microsoft.com/office/drawing/2014/main" id="{4D74D7A9-DBB7-475F-B075-E7EE2B714EC2}"/>
            </a:ext>
          </a:extLst>
        </xdr:cNvPr>
        <xdr:cNvSpPr>
          <a:spLocks noChangeShapeType="1"/>
        </xdr:cNvSpPr>
      </xdr:nvSpPr>
      <xdr:spPr bwMode="auto">
        <a:xfrm flipV="1">
          <a:off x="2009775" y="52959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53</xdr:row>
      <xdr:rowOff>57150</xdr:rowOff>
    </xdr:from>
    <xdr:to>
      <xdr:col>36</xdr:col>
      <xdr:colOff>0</xdr:colOff>
      <xdr:row>53</xdr:row>
      <xdr:rowOff>57150</xdr:rowOff>
    </xdr:to>
    <xdr:sp macro="" textlink="">
      <xdr:nvSpPr>
        <xdr:cNvPr id="55012" name="Line 429">
          <a:extLst>
            <a:ext uri="{FF2B5EF4-FFF2-40B4-BE49-F238E27FC236}">
              <a16:creationId xmlns:a16="http://schemas.microsoft.com/office/drawing/2014/main" id="{8CE950A0-1960-40E9-8322-D80980825BE1}"/>
            </a:ext>
          </a:extLst>
        </xdr:cNvPr>
        <xdr:cNvSpPr>
          <a:spLocks noChangeShapeType="1"/>
        </xdr:cNvSpPr>
      </xdr:nvSpPr>
      <xdr:spPr bwMode="auto">
        <a:xfrm flipH="1">
          <a:off x="2009775" y="5343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30</xdr:row>
      <xdr:rowOff>152400</xdr:rowOff>
    </xdr:from>
    <xdr:to>
      <xdr:col>36</xdr:col>
      <xdr:colOff>0</xdr:colOff>
      <xdr:row>31</xdr:row>
      <xdr:rowOff>66675</xdr:rowOff>
    </xdr:to>
    <xdr:sp macro="" textlink="">
      <xdr:nvSpPr>
        <xdr:cNvPr id="55013" name="Line 430">
          <a:extLst>
            <a:ext uri="{FF2B5EF4-FFF2-40B4-BE49-F238E27FC236}">
              <a16:creationId xmlns:a16="http://schemas.microsoft.com/office/drawing/2014/main" id="{F213E903-BFBA-4BC0-874B-53B258182CC0}"/>
            </a:ext>
          </a:extLst>
        </xdr:cNvPr>
        <xdr:cNvSpPr>
          <a:spLocks noChangeShapeType="1"/>
        </xdr:cNvSpPr>
      </xdr:nvSpPr>
      <xdr:spPr bwMode="auto">
        <a:xfrm flipV="1">
          <a:off x="20097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0</xdr:colOff>
      <xdr:row>30</xdr:row>
      <xdr:rowOff>28575</xdr:rowOff>
    </xdr:to>
    <xdr:sp macro="" textlink="">
      <xdr:nvSpPr>
        <xdr:cNvPr id="55014" name="Arc 9">
          <a:extLst>
            <a:ext uri="{FF2B5EF4-FFF2-40B4-BE49-F238E27FC236}">
              <a16:creationId xmlns:a16="http://schemas.microsoft.com/office/drawing/2014/main" id="{DDF909B6-E23E-4A3F-8C65-A1131DFFBEF3}"/>
            </a:ext>
          </a:extLst>
        </xdr:cNvPr>
        <xdr:cNvSpPr>
          <a:spLocks/>
        </xdr:cNvSpPr>
      </xdr:nvSpPr>
      <xdr:spPr bwMode="auto">
        <a:xfrm flipH="1">
          <a:off x="28860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0</xdr:colOff>
      <xdr:row>30</xdr:row>
      <xdr:rowOff>47625</xdr:rowOff>
    </xdr:to>
    <xdr:sp macro="" textlink="">
      <xdr:nvSpPr>
        <xdr:cNvPr id="55015" name="Arc 10">
          <a:extLst>
            <a:ext uri="{FF2B5EF4-FFF2-40B4-BE49-F238E27FC236}">
              <a16:creationId xmlns:a16="http://schemas.microsoft.com/office/drawing/2014/main" id="{3F61D382-AC8D-4C09-9BB6-A83EF0CB5E44}"/>
            </a:ext>
          </a:extLst>
        </xdr:cNvPr>
        <xdr:cNvSpPr>
          <a:spLocks/>
        </xdr:cNvSpPr>
      </xdr:nvSpPr>
      <xdr:spPr bwMode="auto">
        <a:xfrm>
          <a:off x="28860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29</xdr:row>
      <xdr:rowOff>28575</xdr:rowOff>
    </xdr:from>
    <xdr:to>
      <xdr:col>38</xdr:col>
      <xdr:colOff>0</xdr:colOff>
      <xdr:row>30</xdr:row>
      <xdr:rowOff>85725</xdr:rowOff>
    </xdr:to>
    <xdr:sp macro="" textlink="">
      <xdr:nvSpPr>
        <xdr:cNvPr id="55016" name="Arc 11">
          <a:extLst>
            <a:ext uri="{FF2B5EF4-FFF2-40B4-BE49-F238E27FC236}">
              <a16:creationId xmlns:a16="http://schemas.microsoft.com/office/drawing/2014/main" id="{E205B217-E274-45C0-862D-D56CED18EB19}"/>
            </a:ext>
          </a:extLst>
        </xdr:cNvPr>
        <xdr:cNvSpPr>
          <a:spLocks/>
        </xdr:cNvSpPr>
      </xdr:nvSpPr>
      <xdr:spPr bwMode="auto">
        <a:xfrm>
          <a:off x="28860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50</xdr:row>
      <xdr:rowOff>28575</xdr:rowOff>
    </xdr:from>
    <xdr:to>
      <xdr:col>38</xdr:col>
      <xdr:colOff>0</xdr:colOff>
      <xdr:row>50</xdr:row>
      <xdr:rowOff>85725</xdr:rowOff>
    </xdr:to>
    <xdr:sp macro="" textlink="">
      <xdr:nvSpPr>
        <xdr:cNvPr id="55017" name="Line 12">
          <a:extLst>
            <a:ext uri="{FF2B5EF4-FFF2-40B4-BE49-F238E27FC236}">
              <a16:creationId xmlns:a16="http://schemas.microsoft.com/office/drawing/2014/main" id="{7FB92583-5929-4A35-B798-FDF75385B789}"/>
            </a:ext>
          </a:extLst>
        </xdr:cNvPr>
        <xdr:cNvSpPr>
          <a:spLocks noChangeShapeType="1"/>
        </xdr:cNvSpPr>
      </xdr:nvSpPr>
      <xdr:spPr bwMode="auto">
        <a:xfrm flipH="1" flipV="1">
          <a:off x="2886075" y="79057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50</xdr:row>
      <xdr:rowOff>9525</xdr:rowOff>
    </xdr:from>
    <xdr:to>
      <xdr:col>38</xdr:col>
      <xdr:colOff>0</xdr:colOff>
      <xdr:row>50</xdr:row>
      <xdr:rowOff>76200</xdr:rowOff>
    </xdr:to>
    <xdr:sp macro="" textlink="">
      <xdr:nvSpPr>
        <xdr:cNvPr id="55018" name="Line 13">
          <a:extLst>
            <a:ext uri="{FF2B5EF4-FFF2-40B4-BE49-F238E27FC236}">
              <a16:creationId xmlns:a16="http://schemas.microsoft.com/office/drawing/2014/main" id="{EFC46D38-22D6-4125-9DE3-ADC35B692F05}"/>
            </a:ext>
          </a:extLst>
        </xdr:cNvPr>
        <xdr:cNvSpPr>
          <a:spLocks noChangeShapeType="1"/>
        </xdr:cNvSpPr>
      </xdr:nvSpPr>
      <xdr:spPr bwMode="auto">
        <a:xfrm flipV="1">
          <a:off x="2886075" y="78867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50</xdr:row>
      <xdr:rowOff>57150</xdr:rowOff>
    </xdr:from>
    <xdr:to>
      <xdr:col>38</xdr:col>
      <xdr:colOff>0</xdr:colOff>
      <xdr:row>50</xdr:row>
      <xdr:rowOff>57150</xdr:rowOff>
    </xdr:to>
    <xdr:sp macro="" textlink="">
      <xdr:nvSpPr>
        <xdr:cNvPr id="55019" name="Line 14">
          <a:extLst>
            <a:ext uri="{FF2B5EF4-FFF2-40B4-BE49-F238E27FC236}">
              <a16:creationId xmlns:a16="http://schemas.microsoft.com/office/drawing/2014/main" id="{0D99867C-609E-4742-BC15-89FE5A32E81D}"/>
            </a:ext>
          </a:extLst>
        </xdr:cNvPr>
        <xdr:cNvSpPr>
          <a:spLocks noChangeShapeType="1"/>
        </xdr:cNvSpPr>
      </xdr:nvSpPr>
      <xdr:spPr bwMode="auto">
        <a:xfrm flipH="1">
          <a:off x="2886075" y="7934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29</xdr:row>
      <xdr:rowOff>152400</xdr:rowOff>
    </xdr:from>
    <xdr:to>
      <xdr:col>38</xdr:col>
      <xdr:colOff>0</xdr:colOff>
      <xdr:row>30</xdr:row>
      <xdr:rowOff>66675</xdr:rowOff>
    </xdr:to>
    <xdr:sp macro="" textlink="">
      <xdr:nvSpPr>
        <xdr:cNvPr id="55020" name="Line 15">
          <a:extLst>
            <a:ext uri="{FF2B5EF4-FFF2-40B4-BE49-F238E27FC236}">
              <a16:creationId xmlns:a16="http://schemas.microsoft.com/office/drawing/2014/main" id="{9A3D209C-9C02-4912-906C-A8A2E3754511}"/>
            </a:ext>
          </a:extLst>
        </xdr:cNvPr>
        <xdr:cNvSpPr>
          <a:spLocks noChangeShapeType="1"/>
        </xdr:cNvSpPr>
      </xdr:nvSpPr>
      <xdr:spPr bwMode="auto">
        <a:xfrm flipV="1">
          <a:off x="28860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30</xdr:row>
      <xdr:rowOff>0</xdr:rowOff>
    </xdr:from>
    <xdr:to>
      <xdr:col>38</xdr:col>
      <xdr:colOff>0</xdr:colOff>
      <xdr:row>31</xdr:row>
      <xdr:rowOff>28575</xdr:rowOff>
    </xdr:to>
    <xdr:sp macro="" textlink="">
      <xdr:nvSpPr>
        <xdr:cNvPr id="55021" name="Arc 17">
          <a:extLst>
            <a:ext uri="{FF2B5EF4-FFF2-40B4-BE49-F238E27FC236}">
              <a16:creationId xmlns:a16="http://schemas.microsoft.com/office/drawing/2014/main" id="{733CDAD0-10EA-4AC0-9AC5-D4EDF9243F31}"/>
            </a:ext>
          </a:extLst>
        </xdr:cNvPr>
        <xdr:cNvSpPr>
          <a:spLocks/>
        </xdr:cNvSpPr>
      </xdr:nvSpPr>
      <xdr:spPr bwMode="auto">
        <a:xfrm flipH="1">
          <a:off x="28860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30</xdr:row>
      <xdr:rowOff>0</xdr:rowOff>
    </xdr:from>
    <xdr:to>
      <xdr:col>38</xdr:col>
      <xdr:colOff>0</xdr:colOff>
      <xdr:row>31</xdr:row>
      <xdr:rowOff>47625</xdr:rowOff>
    </xdr:to>
    <xdr:sp macro="" textlink="">
      <xdr:nvSpPr>
        <xdr:cNvPr id="55022" name="Arc 18">
          <a:extLst>
            <a:ext uri="{FF2B5EF4-FFF2-40B4-BE49-F238E27FC236}">
              <a16:creationId xmlns:a16="http://schemas.microsoft.com/office/drawing/2014/main" id="{63E765DC-5C50-47C2-BCB5-207BDE105F8A}"/>
            </a:ext>
          </a:extLst>
        </xdr:cNvPr>
        <xdr:cNvSpPr>
          <a:spLocks/>
        </xdr:cNvSpPr>
      </xdr:nvSpPr>
      <xdr:spPr bwMode="auto">
        <a:xfrm>
          <a:off x="28860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30</xdr:row>
      <xdr:rowOff>28575</xdr:rowOff>
    </xdr:from>
    <xdr:to>
      <xdr:col>38</xdr:col>
      <xdr:colOff>0</xdr:colOff>
      <xdr:row>31</xdr:row>
      <xdr:rowOff>85725</xdr:rowOff>
    </xdr:to>
    <xdr:sp macro="" textlink="">
      <xdr:nvSpPr>
        <xdr:cNvPr id="55023" name="Arc 19">
          <a:extLst>
            <a:ext uri="{FF2B5EF4-FFF2-40B4-BE49-F238E27FC236}">
              <a16:creationId xmlns:a16="http://schemas.microsoft.com/office/drawing/2014/main" id="{DFF7B378-C83D-41BC-BEF9-815483A771FF}"/>
            </a:ext>
          </a:extLst>
        </xdr:cNvPr>
        <xdr:cNvSpPr>
          <a:spLocks/>
        </xdr:cNvSpPr>
      </xdr:nvSpPr>
      <xdr:spPr bwMode="auto">
        <a:xfrm>
          <a:off x="28860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</xdr:row>
      <xdr:rowOff>28575</xdr:rowOff>
    </xdr:from>
    <xdr:to>
      <xdr:col>38</xdr:col>
      <xdr:colOff>0</xdr:colOff>
      <xdr:row>4</xdr:row>
      <xdr:rowOff>85725</xdr:rowOff>
    </xdr:to>
    <xdr:sp macro="" textlink="">
      <xdr:nvSpPr>
        <xdr:cNvPr id="55024" name="Line 20">
          <a:extLst>
            <a:ext uri="{FF2B5EF4-FFF2-40B4-BE49-F238E27FC236}">
              <a16:creationId xmlns:a16="http://schemas.microsoft.com/office/drawing/2014/main" id="{38EE8259-6006-49D8-9802-95A82D286D02}"/>
            </a:ext>
          </a:extLst>
        </xdr:cNvPr>
        <xdr:cNvSpPr>
          <a:spLocks noChangeShapeType="1"/>
        </xdr:cNvSpPr>
      </xdr:nvSpPr>
      <xdr:spPr bwMode="auto">
        <a:xfrm flipH="1" flipV="1">
          <a:off x="2886075" y="160020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</xdr:row>
      <xdr:rowOff>9525</xdr:rowOff>
    </xdr:from>
    <xdr:to>
      <xdr:col>38</xdr:col>
      <xdr:colOff>0</xdr:colOff>
      <xdr:row>4</xdr:row>
      <xdr:rowOff>76200</xdr:rowOff>
    </xdr:to>
    <xdr:sp macro="" textlink="">
      <xdr:nvSpPr>
        <xdr:cNvPr id="55025" name="Line 21">
          <a:extLst>
            <a:ext uri="{FF2B5EF4-FFF2-40B4-BE49-F238E27FC236}">
              <a16:creationId xmlns:a16="http://schemas.microsoft.com/office/drawing/2014/main" id="{7EC2639D-8AD0-49EB-A1C7-5E4042F91D1A}"/>
            </a:ext>
          </a:extLst>
        </xdr:cNvPr>
        <xdr:cNvSpPr>
          <a:spLocks noChangeShapeType="1"/>
        </xdr:cNvSpPr>
      </xdr:nvSpPr>
      <xdr:spPr bwMode="auto">
        <a:xfrm flipV="1">
          <a:off x="2886075" y="159829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</xdr:row>
      <xdr:rowOff>57150</xdr:rowOff>
    </xdr:from>
    <xdr:to>
      <xdr:col>38</xdr:col>
      <xdr:colOff>0</xdr:colOff>
      <xdr:row>4</xdr:row>
      <xdr:rowOff>57150</xdr:rowOff>
    </xdr:to>
    <xdr:sp macro="" textlink="">
      <xdr:nvSpPr>
        <xdr:cNvPr id="55026" name="Line 22">
          <a:extLst>
            <a:ext uri="{FF2B5EF4-FFF2-40B4-BE49-F238E27FC236}">
              <a16:creationId xmlns:a16="http://schemas.microsoft.com/office/drawing/2014/main" id="{405D8F8E-B806-4F5C-9713-7C0117CEB394}"/>
            </a:ext>
          </a:extLst>
        </xdr:cNvPr>
        <xdr:cNvSpPr>
          <a:spLocks noChangeShapeType="1"/>
        </xdr:cNvSpPr>
      </xdr:nvSpPr>
      <xdr:spPr bwMode="auto">
        <a:xfrm flipH="1">
          <a:off x="2886075" y="16030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30</xdr:row>
      <xdr:rowOff>152400</xdr:rowOff>
    </xdr:from>
    <xdr:to>
      <xdr:col>38</xdr:col>
      <xdr:colOff>0</xdr:colOff>
      <xdr:row>31</xdr:row>
      <xdr:rowOff>66675</xdr:rowOff>
    </xdr:to>
    <xdr:sp macro="" textlink="">
      <xdr:nvSpPr>
        <xdr:cNvPr id="55027" name="Line 23">
          <a:extLst>
            <a:ext uri="{FF2B5EF4-FFF2-40B4-BE49-F238E27FC236}">
              <a16:creationId xmlns:a16="http://schemas.microsoft.com/office/drawing/2014/main" id="{AB427FDC-1E80-4F22-9B1D-BD36D787DA5B}"/>
            </a:ext>
          </a:extLst>
        </xdr:cNvPr>
        <xdr:cNvSpPr>
          <a:spLocks noChangeShapeType="1"/>
        </xdr:cNvSpPr>
      </xdr:nvSpPr>
      <xdr:spPr bwMode="auto">
        <a:xfrm flipV="1">
          <a:off x="28860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29</xdr:row>
      <xdr:rowOff>0</xdr:rowOff>
    </xdr:from>
    <xdr:to>
      <xdr:col>40</xdr:col>
      <xdr:colOff>0</xdr:colOff>
      <xdr:row>30</xdr:row>
      <xdr:rowOff>28575</xdr:rowOff>
    </xdr:to>
    <xdr:sp macro="" textlink="">
      <xdr:nvSpPr>
        <xdr:cNvPr id="55028" name="Arc 9">
          <a:extLst>
            <a:ext uri="{FF2B5EF4-FFF2-40B4-BE49-F238E27FC236}">
              <a16:creationId xmlns:a16="http://schemas.microsoft.com/office/drawing/2014/main" id="{11D85940-E24E-4B72-A245-9EB4E2E23570}"/>
            </a:ext>
          </a:extLst>
        </xdr:cNvPr>
        <xdr:cNvSpPr>
          <a:spLocks/>
        </xdr:cNvSpPr>
      </xdr:nvSpPr>
      <xdr:spPr bwMode="auto">
        <a:xfrm flipH="1">
          <a:off x="28860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29</xdr:row>
      <xdr:rowOff>0</xdr:rowOff>
    </xdr:from>
    <xdr:to>
      <xdr:col>40</xdr:col>
      <xdr:colOff>0</xdr:colOff>
      <xdr:row>30</xdr:row>
      <xdr:rowOff>47625</xdr:rowOff>
    </xdr:to>
    <xdr:sp macro="" textlink="">
      <xdr:nvSpPr>
        <xdr:cNvPr id="55029" name="Arc 10">
          <a:extLst>
            <a:ext uri="{FF2B5EF4-FFF2-40B4-BE49-F238E27FC236}">
              <a16:creationId xmlns:a16="http://schemas.microsoft.com/office/drawing/2014/main" id="{2A112C9C-C793-4358-BBF7-205B222932AC}"/>
            </a:ext>
          </a:extLst>
        </xdr:cNvPr>
        <xdr:cNvSpPr>
          <a:spLocks/>
        </xdr:cNvSpPr>
      </xdr:nvSpPr>
      <xdr:spPr bwMode="auto">
        <a:xfrm>
          <a:off x="28860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29</xdr:row>
      <xdr:rowOff>28575</xdr:rowOff>
    </xdr:from>
    <xdr:to>
      <xdr:col>40</xdr:col>
      <xdr:colOff>0</xdr:colOff>
      <xdr:row>30</xdr:row>
      <xdr:rowOff>85725</xdr:rowOff>
    </xdr:to>
    <xdr:sp macro="" textlink="">
      <xdr:nvSpPr>
        <xdr:cNvPr id="55030" name="Arc 11">
          <a:extLst>
            <a:ext uri="{FF2B5EF4-FFF2-40B4-BE49-F238E27FC236}">
              <a16:creationId xmlns:a16="http://schemas.microsoft.com/office/drawing/2014/main" id="{9A02BCE9-A38A-465B-9109-4A06733AAEF7}"/>
            </a:ext>
          </a:extLst>
        </xdr:cNvPr>
        <xdr:cNvSpPr>
          <a:spLocks/>
        </xdr:cNvSpPr>
      </xdr:nvSpPr>
      <xdr:spPr bwMode="auto">
        <a:xfrm>
          <a:off x="28860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90</xdr:row>
      <xdr:rowOff>28575</xdr:rowOff>
    </xdr:from>
    <xdr:to>
      <xdr:col>40</xdr:col>
      <xdr:colOff>0</xdr:colOff>
      <xdr:row>90</xdr:row>
      <xdr:rowOff>85725</xdr:rowOff>
    </xdr:to>
    <xdr:sp macro="" textlink="">
      <xdr:nvSpPr>
        <xdr:cNvPr id="55031" name="Line 12">
          <a:extLst>
            <a:ext uri="{FF2B5EF4-FFF2-40B4-BE49-F238E27FC236}">
              <a16:creationId xmlns:a16="http://schemas.microsoft.com/office/drawing/2014/main" id="{877D775C-B0C4-4866-8696-8BE4EEF9E374}"/>
            </a:ext>
          </a:extLst>
        </xdr:cNvPr>
        <xdr:cNvSpPr>
          <a:spLocks noChangeShapeType="1"/>
        </xdr:cNvSpPr>
      </xdr:nvSpPr>
      <xdr:spPr bwMode="auto">
        <a:xfrm flipH="1" flipV="1">
          <a:off x="2886075" y="12668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90</xdr:row>
      <xdr:rowOff>9525</xdr:rowOff>
    </xdr:from>
    <xdr:to>
      <xdr:col>40</xdr:col>
      <xdr:colOff>0</xdr:colOff>
      <xdr:row>90</xdr:row>
      <xdr:rowOff>76200</xdr:rowOff>
    </xdr:to>
    <xdr:sp macro="" textlink="">
      <xdr:nvSpPr>
        <xdr:cNvPr id="55032" name="Line 13">
          <a:extLst>
            <a:ext uri="{FF2B5EF4-FFF2-40B4-BE49-F238E27FC236}">
              <a16:creationId xmlns:a16="http://schemas.microsoft.com/office/drawing/2014/main" id="{6B397ED6-3E6D-4E6B-B513-3D19FBE02541}"/>
            </a:ext>
          </a:extLst>
        </xdr:cNvPr>
        <xdr:cNvSpPr>
          <a:spLocks noChangeShapeType="1"/>
        </xdr:cNvSpPr>
      </xdr:nvSpPr>
      <xdr:spPr bwMode="auto">
        <a:xfrm flipV="1">
          <a:off x="2886075" y="12477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90</xdr:row>
      <xdr:rowOff>57150</xdr:rowOff>
    </xdr:from>
    <xdr:to>
      <xdr:col>40</xdr:col>
      <xdr:colOff>0</xdr:colOff>
      <xdr:row>90</xdr:row>
      <xdr:rowOff>57150</xdr:rowOff>
    </xdr:to>
    <xdr:sp macro="" textlink="">
      <xdr:nvSpPr>
        <xdr:cNvPr id="55033" name="Line 14">
          <a:extLst>
            <a:ext uri="{FF2B5EF4-FFF2-40B4-BE49-F238E27FC236}">
              <a16:creationId xmlns:a16="http://schemas.microsoft.com/office/drawing/2014/main" id="{2B2C50C7-A524-44B0-B1B5-ED803B2F997D}"/>
            </a:ext>
          </a:extLst>
        </xdr:cNvPr>
        <xdr:cNvSpPr>
          <a:spLocks noChangeShapeType="1"/>
        </xdr:cNvSpPr>
      </xdr:nvSpPr>
      <xdr:spPr bwMode="auto">
        <a:xfrm flipH="1">
          <a:off x="2886075" y="129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29</xdr:row>
      <xdr:rowOff>152400</xdr:rowOff>
    </xdr:from>
    <xdr:to>
      <xdr:col>40</xdr:col>
      <xdr:colOff>0</xdr:colOff>
      <xdr:row>30</xdr:row>
      <xdr:rowOff>66675</xdr:rowOff>
    </xdr:to>
    <xdr:sp macro="" textlink="">
      <xdr:nvSpPr>
        <xdr:cNvPr id="55034" name="Line 15">
          <a:extLst>
            <a:ext uri="{FF2B5EF4-FFF2-40B4-BE49-F238E27FC236}">
              <a16:creationId xmlns:a16="http://schemas.microsoft.com/office/drawing/2014/main" id="{07B2804B-FBA1-498D-810E-AFA1174430CF}"/>
            </a:ext>
          </a:extLst>
        </xdr:cNvPr>
        <xdr:cNvSpPr>
          <a:spLocks noChangeShapeType="1"/>
        </xdr:cNvSpPr>
      </xdr:nvSpPr>
      <xdr:spPr bwMode="auto">
        <a:xfrm flipV="1">
          <a:off x="28860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30</xdr:row>
      <xdr:rowOff>0</xdr:rowOff>
    </xdr:from>
    <xdr:to>
      <xdr:col>40</xdr:col>
      <xdr:colOff>0</xdr:colOff>
      <xdr:row>31</xdr:row>
      <xdr:rowOff>28575</xdr:rowOff>
    </xdr:to>
    <xdr:sp macro="" textlink="">
      <xdr:nvSpPr>
        <xdr:cNvPr id="55035" name="Arc 17">
          <a:extLst>
            <a:ext uri="{FF2B5EF4-FFF2-40B4-BE49-F238E27FC236}">
              <a16:creationId xmlns:a16="http://schemas.microsoft.com/office/drawing/2014/main" id="{90AB1265-1291-4D5E-8EAA-8462DB21146C}"/>
            </a:ext>
          </a:extLst>
        </xdr:cNvPr>
        <xdr:cNvSpPr>
          <a:spLocks/>
        </xdr:cNvSpPr>
      </xdr:nvSpPr>
      <xdr:spPr bwMode="auto">
        <a:xfrm flipH="1">
          <a:off x="28860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30</xdr:row>
      <xdr:rowOff>0</xdr:rowOff>
    </xdr:from>
    <xdr:to>
      <xdr:col>40</xdr:col>
      <xdr:colOff>0</xdr:colOff>
      <xdr:row>31</xdr:row>
      <xdr:rowOff>47625</xdr:rowOff>
    </xdr:to>
    <xdr:sp macro="" textlink="">
      <xdr:nvSpPr>
        <xdr:cNvPr id="55036" name="Arc 18">
          <a:extLst>
            <a:ext uri="{FF2B5EF4-FFF2-40B4-BE49-F238E27FC236}">
              <a16:creationId xmlns:a16="http://schemas.microsoft.com/office/drawing/2014/main" id="{241CF9BC-443C-4C13-95E3-53DDA5BC9149}"/>
            </a:ext>
          </a:extLst>
        </xdr:cNvPr>
        <xdr:cNvSpPr>
          <a:spLocks/>
        </xdr:cNvSpPr>
      </xdr:nvSpPr>
      <xdr:spPr bwMode="auto">
        <a:xfrm>
          <a:off x="28860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30</xdr:row>
      <xdr:rowOff>28575</xdr:rowOff>
    </xdr:from>
    <xdr:to>
      <xdr:col>40</xdr:col>
      <xdr:colOff>0</xdr:colOff>
      <xdr:row>31</xdr:row>
      <xdr:rowOff>85725</xdr:rowOff>
    </xdr:to>
    <xdr:sp macro="" textlink="">
      <xdr:nvSpPr>
        <xdr:cNvPr id="55037" name="Arc 19">
          <a:extLst>
            <a:ext uri="{FF2B5EF4-FFF2-40B4-BE49-F238E27FC236}">
              <a16:creationId xmlns:a16="http://schemas.microsoft.com/office/drawing/2014/main" id="{1206AEF5-55D4-48EB-BBB7-C267518FD9CC}"/>
            </a:ext>
          </a:extLst>
        </xdr:cNvPr>
        <xdr:cNvSpPr>
          <a:spLocks/>
        </xdr:cNvSpPr>
      </xdr:nvSpPr>
      <xdr:spPr bwMode="auto">
        <a:xfrm>
          <a:off x="28860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34</xdr:row>
      <xdr:rowOff>28575</xdr:rowOff>
    </xdr:from>
    <xdr:to>
      <xdr:col>40</xdr:col>
      <xdr:colOff>0</xdr:colOff>
      <xdr:row>34</xdr:row>
      <xdr:rowOff>85725</xdr:rowOff>
    </xdr:to>
    <xdr:sp macro="" textlink="">
      <xdr:nvSpPr>
        <xdr:cNvPr id="55038" name="Line 20">
          <a:extLst>
            <a:ext uri="{FF2B5EF4-FFF2-40B4-BE49-F238E27FC236}">
              <a16:creationId xmlns:a16="http://schemas.microsoft.com/office/drawing/2014/main" id="{2D52158E-5D9F-4A2C-B0F6-96A530AE338E}"/>
            </a:ext>
          </a:extLst>
        </xdr:cNvPr>
        <xdr:cNvSpPr>
          <a:spLocks noChangeShapeType="1"/>
        </xdr:cNvSpPr>
      </xdr:nvSpPr>
      <xdr:spPr bwMode="auto">
        <a:xfrm flipH="1" flipV="1">
          <a:off x="2886075" y="163258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34</xdr:row>
      <xdr:rowOff>9525</xdr:rowOff>
    </xdr:from>
    <xdr:to>
      <xdr:col>40</xdr:col>
      <xdr:colOff>0</xdr:colOff>
      <xdr:row>34</xdr:row>
      <xdr:rowOff>76200</xdr:rowOff>
    </xdr:to>
    <xdr:sp macro="" textlink="">
      <xdr:nvSpPr>
        <xdr:cNvPr id="55039" name="Line 21">
          <a:extLst>
            <a:ext uri="{FF2B5EF4-FFF2-40B4-BE49-F238E27FC236}">
              <a16:creationId xmlns:a16="http://schemas.microsoft.com/office/drawing/2014/main" id="{BDE005FF-18C3-4D31-9608-2D7DC35305DA}"/>
            </a:ext>
          </a:extLst>
        </xdr:cNvPr>
        <xdr:cNvSpPr>
          <a:spLocks noChangeShapeType="1"/>
        </xdr:cNvSpPr>
      </xdr:nvSpPr>
      <xdr:spPr bwMode="auto">
        <a:xfrm flipV="1">
          <a:off x="2886075" y="163068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34</xdr:row>
      <xdr:rowOff>57150</xdr:rowOff>
    </xdr:from>
    <xdr:to>
      <xdr:col>40</xdr:col>
      <xdr:colOff>0</xdr:colOff>
      <xdr:row>34</xdr:row>
      <xdr:rowOff>57150</xdr:rowOff>
    </xdr:to>
    <xdr:sp macro="" textlink="">
      <xdr:nvSpPr>
        <xdr:cNvPr id="55040" name="Line 22">
          <a:extLst>
            <a:ext uri="{FF2B5EF4-FFF2-40B4-BE49-F238E27FC236}">
              <a16:creationId xmlns:a16="http://schemas.microsoft.com/office/drawing/2014/main" id="{2017BE76-45A0-4CB4-A3CD-D600B1207FD5}"/>
            </a:ext>
          </a:extLst>
        </xdr:cNvPr>
        <xdr:cNvSpPr>
          <a:spLocks noChangeShapeType="1"/>
        </xdr:cNvSpPr>
      </xdr:nvSpPr>
      <xdr:spPr bwMode="auto">
        <a:xfrm flipH="1">
          <a:off x="2886075" y="1635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30</xdr:row>
      <xdr:rowOff>152400</xdr:rowOff>
    </xdr:from>
    <xdr:to>
      <xdr:col>40</xdr:col>
      <xdr:colOff>0</xdr:colOff>
      <xdr:row>31</xdr:row>
      <xdr:rowOff>66675</xdr:rowOff>
    </xdr:to>
    <xdr:sp macro="" textlink="">
      <xdr:nvSpPr>
        <xdr:cNvPr id="55041" name="Line 23">
          <a:extLst>
            <a:ext uri="{FF2B5EF4-FFF2-40B4-BE49-F238E27FC236}">
              <a16:creationId xmlns:a16="http://schemas.microsoft.com/office/drawing/2014/main" id="{8ABB73EF-A8D7-4423-9043-43FF11996112}"/>
            </a:ext>
          </a:extLst>
        </xdr:cNvPr>
        <xdr:cNvSpPr>
          <a:spLocks noChangeShapeType="1"/>
        </xdr:cNvSpPr>
      </xdr:nvSpPr>
      <xdr:spPr bwMode="auto">
        <a:xfrm flipV="1">
          <a:off x="28860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29</xdr:row>
      <xdr:rowOff>0</xdr:rowOff>
    </xdr:from>
    <xdr:to>
      <xdr:col>41</xdr:col>
      <xdr:colOff>0</xdr:colOff>
      <xdr:row>30</xdr:row>
      <xdr:rowOff>28575</xdr:rowOff>
    </xdr:to>
    <xdr:sp macro="" textlink="">
      <xdr:nvSpPr>
        <xdr:cNvPr id="55042" name="Arc 9">
          <a:extLst>
            <a:ext uri="{FF2B5EF4-FFF2-40B4-BE49-F238E27FC236}">
              <a16:creationId xmlns:a16="http://schemas.microsoft.com/office/drawing/2014/main" id="{585E6DD5-E619-49A5-BD70-FD4F40B34DF0}"/>
            </a:ext>
          </a:extLst>
        </xdr:cNvPr>
        <xdr:cNvSpPr>
          <a:spLocks/>
        </xdr:cNvSpPr>
      </xdr:nvSpPr>
      <xdr:spPr bwMode="auto">
        <a:xfrm flipH="1">
          <a:off x="28860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29</xdr:row>
      <xdr:rowOff>0</xdr:rowOff>
    </xdr:from>
    <xdr:to>
      <xdr:col>41</xdr:col>
      <xdr:colOff>0</xdr:colOff>
      <xdr:row>30</xdr:row>
      <xdr:rowOff>47625</xdr:rowOff>
    </xdr:to>
    <xdr:sp macro="" textlink="">
      <xdr:nvSpPr>
        <xdr:cNvPr id="55043" name="Arc 10">
          <a:extLst>
            <a:ext uri="{FF2B5EF4-FFF2-40B4-BE49-F238E27FC236}">
              <a16:creationId xmlns:a16="http://schemas.microsoft.com/office/drawing/2014/main" id="{9FAB0579-4E49-4D0A-AD8E-53463418985E}"/>
            </a:ext>
          </a:extLst>
        </xdr:cNvPr>
        <xdr:cNvSpPr>
          <a:spLocks/>
        </xdr:cNvSpPr>
      </xdr:nvSpPr>
      <xdr:spPr bwMode="auto">
        <a:xfrm>
          <a:off x="28860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29</xdr:row>
      <xdr:rowOff>28575</xdr:rowOff>
    </xdr:from>
    <xdr:to>
      <xdr:col>41</xdr:col>
      <xdr:colOff>0</xdr:colOff>
      <xdr:row>30</xdr:row>
      <xdr:rowOff>85725</xdr:rowOff>
    </xdr:to>
    <xdr:sp macro="" textlink="">
      <xdr:nvSpPr>
        <xdr:cNvPr id="55044" name="Arc 11">
          <a:extLst>
            <a:ext uri="{FF2B5EF4-FFF2-40B4-BE49-F238E27FC236}">
              <a16:creationId xmlns:a16="http://schemas.microsoft.com/office/drawing/2014/main" id="{B1E3235A-997D-4B96-AC5C-7F00199AA2D3}"/>
            </a:ext>
          </a:extLst>
        </xdr:cNvPr>
        <xdr:cNvSpPr>
          <a:spLocks/>
        </xdr:cNvSpPr>
      </xdr:nvSpPr>
      <xdr:spPr bwMode="auto">
        <a:xfrm>
          <a:off x="28860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61</xdr:row>
      <xdr:rowOff>28575</xdr:rowOff>
    </xdr:from>
    <xdr:to>
      <xdr:col>41</xdr:col>
      <xdr:colOff>0</xdr:colOff>
      <xdr:row>61</xdr:row>
      <xdr:rowOff>85725</xdr:rowOff>
    </xdr:to>
    <xdr:sp macro="" textlink="">
      <xdr:nvSpPr>
        <xdr:cNvPr id="55045" name="Line 12">
          <a:extLst>
            <a:ext uri="{FF2B5EF4-FFF2-40B4-BE49-F238E27FC236}">
              <a16:creationId xmlns:a16="http://schemas.microsoft.com/office/drawing/2014/main" id="{344994CD-85C1-4CC7-9F17-AD85839889B1}"/>
            </a:ext>
          </a:extLst>
        </xdr:cNvPr>
        <xdr:cNvSpPr>
          <a:spLocks noChangeShapeType="1"/>
        </xdr:cNvSpPr>
      </xdr:nvSpPr>
      <xdr:spPr bwMode="auto">
        <a:xfrm flipH="1" flipV="1">
          <a:off x="2886075" y="547687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61</xdr:row>
      <xdr:rowOff>9525</xdr:rowOff>
    </xdr:from>
    <xdr:to>
      <xdr:col>41</xdr:col>
      <xdr:colOff>0</xdr:colOff>
      <xdr:row>61</xdr:row>
      <xdr:rowOff>76200</xdr:rowOff>
    </xdr:to>
    <xdr:sp macro="" textlink="">
      <xdr:nvSpPr>
        <xdr:cNvPr id="55046" name="Line 13">
          <a:extLst>
            <a:ext uri="{FF2B5EF4-FFF2-40B4-BE49-F238E27FC236}">
              <a16:creationId xmlns:a16="http://schemas.microsoft.com/office/drawing/2014/main" id="{D57048EA-D91F-43BF-9DA5-85C584D7D6A2}"/>
            </a:ext>
          </a:extLst>
        </xdr:cNvPr>
        <xdr:cNvSpPr>
          <a:spLocks noChangeShapeType="1"/>
        </xdr:cNvSpPr>
      </xdr:nvSpPr>
      <xdr:spPr bwMode="auto">
        <a:xfrm flipV="1">
          <a:off x="2886075" y="54578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61</xdr:row>
      <xdr:rowOff>57150</xdr:rowOff>
    </xdr:from>
    <xdr:to>
      <xdr:col>41</xdr:col>
      <xdr:colOff>0</xdr:colOff>
      <xdr:row>61</xdr:row>
      <xdr:rowOff>57150</xdr:rowOff>
    </xdr:to>
    <xdr:sp macro="" textlink="">
      <xdr:nvSpPr>
        <xdr:cNvPr id="55047" name="Line 14">
          <a:extLst>
            <a:ext uri="{FF2B5EF4-FFF2-40B4-BE49-F238E27FC236}">
              <a16:creationId xmlns:a16="http://schemas.microsoft.com/office/drawing/2014/main" id="{616792A8-C136-4DC1-8076-89262CD49F28}"/>
            </a:ext>
          </a:extLst>
        </xdr:cNvPr>
        <xdr:cNvSpPr>
          <a:spLocks noChangeShapeType="1"/>
        </xdr:cNvSpPr>
      </xdr:nvSpPr>
      <xdr:spPr bwMode="auto">
        <a:xfrm flipH="1">
          <a:off x="2886075" y="5505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29</xdr:row>
      <xdr:rowOff>152400</xdr:rowOff>
    </xdr:from>
    <xdr:to>
      <xdr:col>41</xdr:col>
      <xdr:colOff>0</xdr:colOff>
      <xdr:row>30</xdr:row>
      <xdr:rowOff>66675</xdr:rowOff>
    </xdr:to>
    <xdr:sp macro="" textlink="">
      <xdr:nvSpPr>
        <xdr:cNvPr id="55048" name="Line 15">
          <a:extLst>
            <a:ext uri="{FF2B5EF4-FFF2-40B4-BE49-F238E27FC236}">
              <a16:creationId xmlns:a16="http://schemas.microsoft.com/office/drawing/2014/main" id="{23B5CEA1-319D-4A9E-B866-7EB5F7FDDB55}"/>
            </a:ext>
          </a:extLst>
        </xdr:cNvPr>
        <xdr:cNvSpPr>
          <a:spLocks noChangeShapeType="1"/>
        </xdr:cNvSpPr>
      </xdr:nvSpPr>
      <xdr:spPr bwMode="auto">
        <a:xfrm flipV="1">
          <a:off x="28860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31</xdr:row>
      <xdr:rowOff>28575</xdr:rowOff>
    </xdr:to>
    <xdr:sp macro="" textlink="">
      <xdr:nvSpPr>
        <xdr:cNvPr id="55049" name="Arc 17">
          <a:extLst>
            <a:ext uri="{FF2B5EF4-FFF2-40B4-BE49-F238E27FC236}">
              <a16:creationId xmlns:a16="http://schemas.microsoft.com/office/drawing/2014/main" id="{C8D0DB82-F0BD-4539-8D5E-BC9D6D6F9D5B}"/>
            </a:ext>
          </a:extLst>
        </xdr:cNvPr>
        <xdr:cNvSpPr>
          <a:spLocks/>
        </xdr:cNvSpPr>
      </xdr:nvSpPr>
      <xdr:spPr bwMode="auto">
        <a:xfrm flipH="1">
          <a:off x="28860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31</xdr:row>
      <xdr:rowOff>47625</xdr:rowOff>
    </xdr:to>
    <xdr:sp macro="" textlink="">
      <xdr:nvSpPr>
        <xdr:cNvPr id="55050" name="Arc 18">
          <a:extLst>
            <a:ext uri="{FF2B5EF4-FFF2-40B4-BE49-F238E27FC236}">
              <a16:creationId xmlns:a16="http://schemas.microsoft.com/office/drawing/2014/main" id="{B7F29A10-8005-4858-B2BE-253B3B61F624}"/>
            </a:ext>
          </a:extLst>
        </xdr:cNvPr>
        <xdr:cNvSpPr>
          <a:spLocks/>
        </xdr:cNvSpPr>
      </xdr:nvSpPr>
      <xdr:spPr bwMode="auto">
        <a:xfrm>
          <a:off x="28860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28575</xdr:rowOff>
    </xdr:from>
    <xdr:to>
      <xdr:col>41</xdr:col>
      <xdr:colOff>0</xdr:colOff>
      <xdr:row>31</xdr:row>
      <xdr:rowOff>85725</xdr:rowOff>
    </xdr:to>
    <xdr:sp macro="" textlink="">
      <xdr:nvSpPr>
        <xdr:cNvPr id="55051" name="Arc 19">
          <a:extLst>
            <a:ext uri="{FF2B5EF4-FFF2-40B4-BE49-F238E27FC236}">
              <a16:creationId xmlns:a16="http://schemas.microsoft.com/office/drawing/2014/main" id="{5F8C120A-6161-4048-8587-117933072239}"/>
            </a:ext>
          </a:extLst>
        </xdr:cNvPr>
        <xdr:cNvSpPr>
          <a:spLocks/>
        </xdr:cNvSpPr>
      </xdr:nvSpPr>
      <xdr:spPr bwMode="auto">
        <a:xfrm>
          <a:off x="28860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63</xdr:row>
      <xdr:rowOff>28575</xdr:rowOff>
    </xdr:from>
    <xdr:to>
      <xdr:col>41</xdr:col>
      <xdr:colOff>0</xdr:colOff>
      <xdr:row>63</xdr:row>
      <xdr:rowOff>85725</xdr:rowOff>
    </xdr:to>
    <xdr:sp macro="" textlink="">
      <xdr:nvSpPr>
        <xdr:cNvPr id="55052" name="Line 20">
          <a:extLst>
            <a:ext uri="{FF2B5EF4-FFF2-40B4-BE49-F238E27FC236}">
              <a16:creationId xmlns:a16="http://schemas.microsoft.com/office/drawing/2014/main" id="{C8E10452-86CA-466A-9034-06688EFD4A32}"/>
            </a:ext>
          </a:extLst>
        </xdr:cNvPr>
        <xdr:cNvSpPr>
          <a:spLocks noChangeShapeType="1"/>
        </xdr:cNvSpPr>
      </xdr:nvSpPr>
      <xdr:spPr bwMode="auto">
        <a:xfrm flipH="1" flipV="1">
          <a:off x="2886075" y="143827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63</xdr:row>
      <xdr:rowOff>9525</xdr:rowOff>
    </xdr:from>
    <xdr:to>
      <xdr:col>41</xdr:col>
      <xdr:colOff>0</xdr:colOff>
      <xdr:row>63</xdr:row>
      <xdr:rowOff>76200</xdr:rowOff>
    </xdr:to>
    <xdr:sp macro="" textlink="">
      <xdr:nvSpPr>
        <xdr:cNvPr id="55053" name="Line 21">
          <a:extLst>
            <a:ext uri="{FF2B5EF4-FFF2-40B4-BE49-F238E27FC236}">
              <a16:creationId xmlns:a16="http://schemas.microsoft.com/office/drawing/2014/main" id="{1EDED3C7-39AE-4315-9E6E-D81A069EACBD}"/>
            </a:ext>
          </a:extLst>
        </xdr:cNvPr>
        <xdr:cNvSpPr>
          <a:spLocks noChangeShapeType="1"/>
        </xdr:cNvSpPr>
      </xdr:nvSpPr>
      <xdr:spPr bwMode="auto">
        <a:xfrm flipV="1">
          <a:off x="2886075" y="143637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63</xdr:row>
      <xdr:rowOff>57150</xdr:rowOff>
    </xdr:from>
    <xdr:to>
      <xdr:col>41</xdr:col>
      <xdr:colOff>0</xdr:colOff>
      <xdr:row>63</xdr:row>
      <xdr:rowOff>57150</xdr:rowOff>
    </xdr:to>
    <xdr:sp macro="" textlink="">
      <xdr:nvSpPr>
        <xdr:cNvPr id="55054" name="Line 22">
          <a:extLst>
            <a:ext uri="{FF2B5EF4-FFF2-40B4-BE49-F238E27FC236}">
              <a16:creationId xmlns:a16="http://schemas.microsoft.com/office/drawing/2014/main" id="{BAF8C7CE-0CB4-4A4A-85FC-879A080B26DA}"/>
            </a:ext>
          </a:extLst>
        </xdr:cNvPr>
        <xdr:cNvSpPr>
          <a:spLocks noChangeShapeType="1"/>
        </xdr:cNvSpPr>
      </xdr:nvSpPr>
      <xdr:spPr bwMode="auto">
        <a:xfrm flipH="1">
          <a:off x="2886075" y="1441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152400</xdr:rowOff>
    </xdr:from>
    <xdr:to>
      <xdr:col>41</xdr:col>
      <xdr:colOff>0</xdr:colOff>
      <xdr:row>31</xdr:row>
      <xdr:rowOff>66675</xdr:rowOff>
    </xdr:to>
    <xdr:sp macro="" textlink="">
      <xdr:nvSpPr>
        <xdr:cNvPr id="55055" name="Line 23">
          <a:extLst>
            <a:ext uri="{FF2B5EF4-FFF2-40B4-BE49-F238E27FC236}">
              <a16:creationId xmlns:a16="http://schemas.microsoft.com/office/drawing/2014/main" id="{0E116FD9-DBCD-4D98-930B-5B6E05EEF9F5}"/>
            </a:ext>
          </a:extLst>
        </xdr:cNvPr>
        <xdr:cNvSpPr>
          <a:spLocks noChangeShapeType="1"/>
        </xdr:cNvSpPr>
      </xdr:nvSpPr>
      <xdr:spPr bwMode="auto">
        <a:xfrm flipV="1">
          <a:off x="28860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0</xdr:rowOff>
    </xdr:from>
    <xdr:to>
      <xdr:col>43</xdr:col>
      <xdr:colOff>0</xdr:colOff>
      <xdr:row>30</xdr:row>
      <xdr:rowOff>28575</xdr:rowOff>
    </xdr:to>
    <xdr:sp macro="" textlink="">
      <xdr:nvSpPr>
        <xdr:cNvPr id="55056" name="Arc 9">
          <a:extLst>
            <a:ext uri="{FF2B5EF4-FFF2-40B4-BE49-F238E27FC236}">
              <a16:creationId xmlns:a16="http://schemas.microsoft.com/office/drawing/2014/main" id="{12E92663-8714-410B-839B-9F3D3B655A10}"/>
            </a:ext>
          </a:extLst>
        </xdr:cNvPr>
        <xdr:cNvSpPr>
          <a:spLocks/>
        </xdr:cNvSpPr>
      </xdr:nvSpPr>
      <xdr:spPr bwMode="auto">
        <a:xfrm flipH="1">
          <a:off x="28860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0</xdr:rowOff>
    </xdr:from>
    <xdr:to>
      <xdr:col>43</xdr:col>
      <xdr:colOff>0</xdr:colOff>
      <xdr:row>30</xdr:row>
      <xdr:rowOff>47625</xdr:rowOff>
    </xdr:to>
    <xdr:sp macro="" textlink="">
      <xdr:nvSpPr>
        <xdr:cNvPr id="55057" name="Arc 10">
          <a:extLst>
            <a:ext uri="{FF2B5EF4-FFF2-40B4-BE49-F238E27FC236}">
              <a16:creationId xmlns:a16="http://schemas.microsoft.com/office/drawing/2014/main" id="{188F09FC-FE6E-4B67-AA6E-58423281BE6B}"/>
            </a:ext>
          </a:extLst>
        </xdr:cNvPr>
        <xdr:cNvSpPr>
          <a:spLocks/>
        </xdr:cNvSpPr>
      </xdr:nvSpPr>
      <xdr:spPr bwMode="auto">
        <a:xfrm>
          <a:off x="28860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28575</xdr:rowOff>
    </xdr:from>
    <xdr:to>
      <xdr:col>43</xdr:col>
      <xdr:colOff>0</xdr:colOff>
      <xdr:row>30</xdr:row>
      <xdr:rowOff>85725</xdr:rowOff>
    </xdr:to>
    <xdr:sp macro="" textlink="">
      <xdr:nvSpPr>
        <xdr:cNvPr id="55058" name="Arc 11">
          <a:extLst>
            <a:ext uri="{FF2B5EF4-FFF2-40B4-BE49-F238E27FC236}">
              <a16:creationId xmlns:a16="http://schemas.microsoft.com/office/drawing/2014/main" id="{E367EA9C-B97F-477F-A84C-DE2F06177165}"/>
            </a:ext>
          </a:extLst>
        </xdr:cNvPr>
        <xdr:cNvSpPr>
          <a:spLocks/>
        </xdr:cNvSpPr>
      </xdr:nvSpPr>
      <xdr:spPr bwMode="auto">
        <a:xfrm>
          <a:off x="28860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104</xdr:row>
      <xdr:rowOff>28575</xdr:rowOff>
    </xdr:from>
    <xdr:to>
      <xdr:col>43</xdr:col>
      <xdr:colOff>0</xdr:colOff>
      <xdr:row>104</xdr:row>
      <xdr:rowOff>85725</xdr:rowOff>
    </xdr:to>
    <xdr:sp macro="" textlink="">
      <xdr:nvSpPr>
        <xdr:cNvPr id="55059" name="Line 12">
          <a:extLst>
            <a:ext uri="{FF2B5EF4-FFF2-40B4-BE49-F238E27FC236}">
              <a16:creationId xmlns:a16="http://schemas.microsoft.com/office/drawing/2014/main" id="{BA559F7B-0769-44BC-A9CD-252B177AEE22}"/>
            </a:ext>
          </a:extLst>
        </xdr:cNvPr>
        <xdr:cNvSpPr>
          <a:spLocks noChangeShapeType="1"/>
        </xdr:cNvSpPr>
      </xdr:nvSpPr>
      <xdr:spPr bwMode="auto">
        <a:xfrm flipH="1" flipV="1">
          <a:off x="2886075" y="499110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104</xdr:row>
      <xdr:rowOff>9525</xdr:rowOff>
    </xdr:from>
    <xdr:to>
      <xdr:col>43</xdr:col>
      <xdr:colOff>0</xdr:colOff>
      <xdr:row>104</xdr:row>
      <xdr:rowOff>76200</xdr:rowOff>
    </xdr:to>
    <xdr:sp macro="" textlink="">
      <xdr:nvSpPr>
        <xdr:cNvPr id="55060" name="Line 13">
          <a:extLst>
            <a:ext uri="{FF2B5EF4-FFF2-40B4-BE49-F238E27FC236}">
              <a16:creationId xmlns:a16="http://schemas.microsoft.com/office/drawing/2014/main" id="{A573D316-181F-4FC1-946C-9FB0F16ED37F}"/>
            </a:ext>
          </a:extLst>
        </xdr:cNvPr>
        <xdr:cNvSpPr>
          <a:spLocks noChangeShapeType="1"/>
        </xdr:cNvSpPr>
      </xdr:nvSpPr>
      <xdr:spPr bwMode="auto">
        <a:xfrm flipV="1">
          <a:off x="2886075" y="497205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104</xdr:row>
      <xdr:rowOff>57150</xdr:rowOff>
    </xdr:from>
    <xdr:to>
      <xdr:col>43</xdr:col>
      <xdr:colOff>0</xdr:colOff>
      <xdr:row>104</xdr:row>
      <xdr:rowOff>57150</xdr:rowOff>
    </xdr:to>
    <xdr:sp macro="" textlink="">
      <xdr:nvSpPr>
        <xdr:cNvPr id="55061" name="Line 14">
          <a:extLst>
            <a:ext uri="{FF2B5EF4-FFF2-40B4-BE49-F238E27FC236}">
              <a16:creationId xmlns:a16="http://schemas.microsoft.com/office/drawing/2014/main" id="{C29A5F50-2F22-4E18-B30B-75B0C7418C2C}"/>
            </a:ext>
          </a:extLst>
        </xdr:cNvPr>
        <xdr:cNvSpPr>
          <a:spLocks noChangeShapeType="1"/>
        </xdr:cNvSpPr>
      </xdr:nvSpPr>
      <xdr:spPr bwMode="auto">
        <a:xfrm flipH="1">
          <a:off x="2886075" y="501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29</xdr:row>
      <xdr:rowOff>152400</xdr:rowOff>
    </xdr:from>
    <xdr:to>
      <xdr:col>43</xdr:col>
      <xdr:colOff>0</xdr:colOff>
      <xdr:row>30</xdr:row>
      <xdr:rowOff>66675</xdr:rowOff>
    </xdr:to>
    <xdr:sp macro="" textlink="">
      <xdr:nvSpPr>
        <xdr:cNvPr id="55062" name="Line 15">
          <a:extLst>
            <a:ext uri="{FF2B5EF4-FFF2-40B4-BE49-F238E27FC236}">
              <a16:creationId xmlns:a16="http://schemas.microsoft.com/office/drawing/2014/main" id="{4D80B9DD-0AC7-47B9-9A31-963FB9828E4A}"/>
            </a:ext>
          </a:extLst>
        </xdr:cNvPr>
        <xdr:cNvSpPr>
          <a:spLocks noChangeShapeType="1"/>
        </xdr:cNvSpPr>
      </xdr:nvSpPr>
      <xdr:spPr bwMode="auto">
        <a:xfrm flipV="1">
          <a:off x="28860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0</xdr:rowOff>
    </xdr:from>
    <xdr:to>
      <xdr:col>43</xdr:col>
      <xdr:colOff>0</xdr:colOff>
      <xdr:row>31</xdr:row>
      <xdr:rowOff>28575</xdr:rowOff>
    </xdr:to>
    <xdr:sp macro="" textlink="">
      <xdr:nvSpPr>
        <xdr:cNvPr id="55063" name="Arc 17">
          <a:extLst>
            <a:ext uri="{FF2B5EF4-FFF2-40B4-BE49-F238E27FC236}">
              <a16:creationId xmlns:a16="http://schemas.microsoft.com/office/drawing/2014/main" id="{FC6286A5-8720-4D98-8B62-8FE038EBFDFA}"/>
            </a:ext>
          </a:extLst>
        </xdr:cNvPr>
        <xdr:cNvSpPr>
          <a:spLocks/>
        </xdr:cNvSpPr>
      </xdr:nvSpPr>
      <xdr:spPr bwMode="auto">
        <a:xfrm flipH="1">
          <a:off x="28860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0</xdr:rowOff>
    </xdr:from>
    <xdr:to>
      <xdr:col>43</xdr:col>
      <xdr:colOff>0</xdr:colOff>
      <xdr:row>31</xdr:row>
      <xdr:rowOff>47625</xdr:rowOff>
    </xdr:to>
    <xdr:sp macro="" textlink="">
      <xdr:nvSpPr>
        <xdr:cNvPr id="55064" name="Arc 18">
          <a:extLst>
            <a:ext uri="{FF2B5EF4-FFF2-40B4-BE49-F238E27FC236}">
              <a16:creationId xmlns:a16="http://schemas.microsoft.com/office/drawing/2014/main" id="{2D75CE66-FF6D-4B9B-AFCD-ABEDF263A85F}"/>
            </a:ext>
          </a:extLst>
        </xdr:cNvPr>
        <xdr:cNvSpPr>
          <a:spLocks/>
        </xdr:cNvSpPr>
      </xdr:nvSpPr>
      <xdr:spPr bwMode="auto">
        <a:xfrm>
          <a:off x="28860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28575</xdr:rowOff>
    </xdr:from>
    <xdr:to>
      <xdr:col>43</xdr:col>
      <xdr:colOff>0</xdr:colOff>
      <xdr:row>31</xdr:row>
      <xdr:rowOff>85725</xdr:rowOff>
    </xdr:to>
    <xdr:sp macro="" textlink="">
      <xdr:nvSpPr>
        <xdr:cNvPr id="55065" name="Arc 19">
          <a:extLst>
            <a:ext uri="{FF2B5EF4-FFF2-40B4-BE49-F238E27FC236}">
              <a16:creationId xmlns:a16="http://schemas.microsoft.com/office/drawing/2014/main" id="{504AC065-E91B-4008-B826-166530868EDE}"/>
            </a:ext>
          </a:extLst>
        </xdr:cNvPr>
        <xdr:cNvSpPr>
          <a:spLocks/>
        </xdr:cNvSpPr>
      </xdr:nvSpPr>
      <xdr:spPr bwMode="auto">
        <a:xfrm>
          <a:off x="28860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43</xdr:col>
      <xdr:colOff>0</xdr:colOff>
      <xdr:row>78</xdr:row>
      <xdr:rowOff>28575</xdr:rowOff>
    </xdr:from>
    <xdr:to>
      <xdr:col>43</xdr:col>
      <xdr:colOff>0</xdr:colOff>
      <xdr:row>78</xdr:row>
      <xdr:rowOff>85725</xdr:rowOff>
    </xdr:to>
    <xdr:sp macro="" textlink="">
      <xdr:nvSpPr>
        <xdr:cNvPr id="55066" name="Line 20">
          <a:extLst>
            <a:ext uri="{FF2B5EF4-FFF2-40B4-BE49-F238E27FC236}">
              <a16:creationId xmlns:a16="http://schemas.microsoft.com/office/drawing/2014/main" id="{A933BC3B-6501-4884-848B-FB9CCE33AC47}"/>
            </a:ext>
          </a:extLst>
        </xdr:cNvPr>
        <xdr:cNvSpPr>
          <a:spLocks noChangeShapeType="1"/>
        </xdr:cNvSpPr>
      </xdr:nvSpPr>
      <xdr:spPr bwMode="auto">
        <a:xfrm flipH="1" flipV="1">
          <a:off x="2886075" y="72580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78</xdr:row>
      <xdr:rowOff>9525</xdr:rowOff>
    </xdr:from>
    <xdr:to>
      <xdr:col>43</xdr:col>
      <xdr:colOff>0</xdr:colOff>
      <xdr:row>78</xdr:row>
      <xdr:rowOff>76200</xdr:rowOff>
    </xdr:to>
    <xdr:sp macro="" textlink="">
      <xdr:nvSpPr>
        <xdr:cNvPr id="55067" name="Line 21">
          <a:extLst>
            <a:ext uri="{FF2B5EF4-FFF2-40B4-BE49-F238E27FC236}">
              <a16:creationId xmlns:a16="http://schemas.microsoft.com/office/drawing/2014/main" id="{BA4AF728-1B0A-4D44-A6F4-0B75094EE16C}"/>
            </a:ext>
          </a:extLst>
        </xdr:cNvPr>
        <xdr:cNvSpPr>
          <a:spLocks noChangeShapeType="1"/>
        </xdr:cNvSpPr>
      </xdr:nvSpPr>
      <xdr:spPr bwMode="auto">
        <a:xfrm flipV="1">
          <a:off x="2886075" y="7239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78</xdr:row>
      <xdr:rowOff>57150</xdr:rowOff>
    </xdr:from>
    <xdr:to>
      <xdr:col>43</xdr:col>
      <xdr:colOff>0</xdr:colOff>
      <xdr:row>78</xdr:row>
      <xdr:rowOff>57150</xdr:rowOff>
    </xdr:to>
    <xdr:sp macro="" textlink="">
      <xdr:nvSpPr>
        <xdr:cNvPr id="55068" name="Line 22">
          <a:extLst>
            <a:ext uri="{FF2B5EF4-FFF2-40B4-BE49-F238E27FC236}">
              <a16:creationId xmlns:a16="http://schemas.microsoft.com/office/drawing/2014/main" id="{5EC78F91-1FE2-412E-A87A-97B78990383C}"/>
            </a:ext>
          </a:extLst>
        </xdr:cNvPr>
        <xdr:cNvSpPr>
          <a:spLocks noChangeShapeType="1"/>
        </xdr:cNvSpPr>
      </xdr:nvSpPr>
      <xdr:spPr bwMode="auto">
        <a:xfrm flipH="1">
          <a:off x="2886075" y="7286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30</xdr:row>
      <xdr:rowOff>152400</xdr:rowOff>
    </xdr:from>
    <xdr:to>
      <xdr:col>43</xdr:col>
      <xdr:colOff>0</xdr:colOff>
      <xdr:row>31</xdr:row>
      <xdr:rowOff>66675</xdr:rowOff>
    </xdr:to>
    <xdr:sp macro="" textlink="">
      <xdr:nvSpPr>
        <xdr:cNvPr id="55069" name="Line 23">
          <a:extLst>
            <a:ext uri="{FF2B5EF4-FFF2-40B4-BE49-F238E27FC236}">
              <a16:creationId xmlns:a16="http://schemas.microsoft.com/office/drawing/2014/main" id="{D5E465EC-D0F4-4112-9806-AB411E0B9EE6}"/>
            </a:ext>
          </a:extLst>
        </xdr:cNvPr>
        <xdr:cNvSpPr>
          <a:spLocks noChangeShapeType="1"/>
        </xdr:cNvSpPr>
      </xdr:nvSpPr>
      <xdr:spPr bwMode="auto">
        <a:xfrm flipV="1">
          <a:off x="28860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29</xdr:row>
      <xdr:rowOff>0</xdr:rowOff>
    </xdr:from>
    <xdr:to>
      <xdr:col>45</xdr:col>
      <xdr:colOff>0</xdr:colOff>
      <xdr:row>30</xdr:row>
      <xdr:rowOff>28575</xdr:rowOff>
    </xdr:to>
    <xdr:sp macro="" textlink="">
      <xdr:nvSpPr>
        <xdr:cNvPr id="445" name="Arc 9">
          <a:extLst>
            <a:ext uri="{FF2B5EF4-FFF2-40B4-BE49-F238E27FC236}">
              <a16:creationId xmlns:a16="http://schemas.microsoft.com/office/drawing/2014/main" id="{6CEF014E-EE60-42B8-99B5-D4998E732911}"/>
            </a:ext>
          </a:extLst>
        </xdr:cNvPr>
        <xdr:cNvSpPr>
          <a:spLocks/>
        </xdr:cNvSpPr>
      </xdr:nvSpPr>
      <xdr:spPr bwMode="auto">
        <a:xfrm flipH="1">
          <a:off x="28860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29</xdr:row>
      <xdr:rowOff>0</xdr:rowOff>
    </xdr:from>
    <xdr:to>
      <xdr:col>45</xdr:col>
      <xdr:colOff>0</xdr:colOff>
      <xdr:row>30</xdr:row>
      <xdr:rowOff>47625</xdr:rowOff>
    </xdr:to>
    <xdr:sp macro="" textlink="">
      <xdr:nvSpPr>
        <xdr:cNvPr id="446" name="Arc 10">
          <a:extLst>
            <a:ext uri="{FF2B5EF4-FFF2-40B4-BE49-F238E27FC236}">
              <a16:creationId xmlns:a16="http://schemas.microsoft.com/office/drawing/2014/main" id="{8230E364-6981-4FE2-A880-F1E2BB67BDC0}"/>
            </a:ext>
          </a:extLst>
        </xdr:cNvPr>
        <xdr:cNvSpPr>
          <a:spLocks/>
        </xdr:cNvSpPr>
      </xdr:nvSpPr>
      <xdr:spPr bwMode="auto">
        <a:xfrm>
          <a:off x="28860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29</xdr:row>
      <xdr:rowOff>28575</xdr:rowOff>
    </xdr:from>
    <xdr:to>
      <xdr:col>45</xdr:col>
      <xdr:colOff>0</xdr:colOff>
      <xdr:row>30</xdr:row>
      <xdr:rowOff>85725</xdr:rowOff>
    </xdr:to>
    <xdr:sp macro="" textlink="">
      <xdr:nvSpPr>
        <xdr:cNvPr id="447" name="Arc 11">
          <a:extLst>
            <a:ext uri="{FF2B5EF4-FFF2-40B4-BE49-F238E27FC236}">
              <a16:creationId xmlns:a16="http://schemas.microsoft.com/office/drawing/2014/main" id="{3656AB10-8ABD-4950-A1F6-630648B9B3F2}"/>
            </a:ext>
          </a:extLst>
        </xdr:cNvPr>
        <xdr:cNvSpPr>
          <a:spLocks/>
        </xdr:cNvSpPr>
      </xdr:nvSpPr>
      <xdr:spPr bwMode="auto">
        <a:xfrm>
          <a:off x="28860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38</xdr:row>
      <xdr:rowOff>28575</xdr:rowOff>
    </xdr:from>
    <xdr:to>
      <xdr:col>45</xdr:col>
      <xdr:colOff>0</xdr:colOff>
      <xdr:row>38</xdr:row>
      <xdr:rowOff>85725</xdr:rowOff>
    </xdr:to>
    <xdr:sp macro="" textlink="">
      <xdr:nvSpPr>
        <xdr:cNvPr id="448" name="Line 12">
          <a:extLst>
            <a:ext uri="{FF2B5EF4-FFF2-40B4-BE49-F238E27FC236}">
              <a16:creationId xmlns:a16="http://schemas.microsoft.com/office/drawing/2014/main" id="{2AA1BE13-91DB-48F7-B7E8-8116D05EC6B2}"/>
            </a:ext>
          </a:extLst>
        </xdr:cNvPr>
        <xdr:cNvSpPr>
          <a:spLocks noChangeShapeType="1"/>
        </xdr:cNvSpPr>
      </xdr:nvSpPr>
      <xdr:spPr bwMode="auto">
        <a:xfrm flipH="1" flipV="1">
          <a:off x="288607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38</xdr:row>
      <xdr:rowOff>9525</xdr:rowOff>
    </xdr:from>
    <xdr:to>
      <xdr:col>45</xdr:col>
      <xdr:colOff>0</xdr:colOff>
      <xdr:row>38</xdr:row>
      <xdr:rowOff>76200</xdr:rowOff>
    </xdr:to>
    <xdr:sp macro="" textlink="">
      <xdr:nvSpPr>
        <xdr:cNvPr id="449" name="Line 13">
          <a:extLst>
            <a:ext uri="{FF2B5EF4-FFF2-40B4-BE49-F238E27FC236}">
              <a16:creationId xmlns:a16="http://schemas.microsoft.com/office/drawing/2014/main" id="{504C28C9-15EF-4A61-BC6A-017D319C6571}"/>
            </a:ext>
          </a:extLst>
        </xdr:cNvPr>
        <xdr:cNvSpPr>
          <a:spLocks noChangeShapeType="1"/>
        </xdr:cNvSpPr>
      </xdr:nvSpPr>
      <xdr:spPr bwMode="auto">
        <a:xfrm flipV="1">
          <a:off x="288607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38</xdr:row>
      <xdr:rowOff>57150</xdr:rowOff>
    </xdr:from>
    <xdr:to>
      <xdr:col>45</xdr:col>
      <xdr:colOff>0</xdr:colOff>
      <xdr:row>38</xdr:row>
      <xdr:rowOff>57150</xdr:rowOff>
    </xdr:to>
    <xdr:sp macro="" textlink="">
      <xdr:nvSpPr>
        <xdr:cNvPr id="450" name="Line 14">
          <a:extLst>
            <a:ext uri="{FF2B5EF4-FFF2-40B4-BE49-F238E27FC236}">
              <a16:creationId xmlns:a16="http://schemas.microsoft.com/office/drawing/2014/main" id="{7D8C62B8-6EDE-4A14-AE25-4AD342E3C1DA}"/>
            </a:ext>
          </a:extLst>
        </xdr:cNvPr>
        <xdr:cNvSpPr>
          <a:spLocks noChangeShapeType="1"/>
        </xdr:cNvSpPr>
      </xdr:nvSpPr>
      <xdr:spPr bwMode="auto">
        <a:xfrm flipH="1">
          <a:off x="288607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29</xdr:row>
      <xdr:rowOff>152400</xdr:rowOff>
    </xdr:from>
    <xdr:to>
      <xdr:col>45</xdr:col>
      <xdr:colOff>0</xdr:colOff>
      <xdr:row>30</xdr:row>
      <xdr:rowOff>66675</xdr:rowOff>
    </xdr:to>
    <xdr:sp macro="" textlink="">
      <xdr:nvSpPr>
        <xdr:cNvPr id="451" name="Line 15">
          <a:extLst>
            <a:ext uri="{FF2B5EF4-FFF2-40B4-BE49-F238E27FC236}">
              <a16:creationId xmlns:a16="http://schemas.microsoft.com/office/drawing/2014/main" id="{B1EBDF11-BBCA-4328-9742-661E68B451C1}"/>
            </a:ext>
          </a:extLst>
        </xdr:cNvPr>
        <xdr:cNvSpPr>
          <a:spLocks noChangeShapeType="1"/>
        </xdr:cNvSpPr>
      </xdr:nvSpPr>
      <xdr:spPr bwMode="auto">
        <a:xfrm flipV="1">
          <a:off x="28860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30</xdr:row>
      <xdr:rowOff>0</xdr:rowOff>
    </xdr:from>
    <xdr:to>
      <xdr:col>45</xdr:col>
      <xdr:colOff>0</xdr:colOff>
      <xdr:row>31</xdr:row>
      <xdr:rowOff>28575</xdr:rowOff>
    </xdr:to>
    <xdr:sp macro="" textlink="">
      <xdr:nvSpPr>
        <xdr:cNvPr id="452" name="Arc 17">
          <a:extLst>
            <a:ext uri="{FF2B5EF4-FFF2-40B4-BE49-F238E27FC236}">
              <a16:creationId xmlns:a16="http://schemas.microsoft.com/office/drawing/2014/main" id="{1F300B94-9461-41BE-BDF9-9FC137E27399}"/>
            </a:ext>
          </a:extLst>
        </xdr:cNvPr>
        <xdr:cNvSpPr>
          <a:spLocks/>
        </xdr:cNvSpPr>
      </xdr:nvSpPr>
      <xdr:spPr bwMode="auto">
        <a:xfrm flipH="1">
          <a:off x="28860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30</xdr:row>
      <xdr:rowOff>0</xdr:rowOff>
    </xdr:from>
    <xdr:to>
      <xdr:col>45</xdr:col>
      <xdr:colOff>0</xdr:colOff>
      <xdr:row>31</xdr:row>
      <xdr:rowOff>47625</xdr:rowOff>
    </xdr:to>
    <xdr:sp macro="" textlink="">
      <xdr:nvSpPr>
        <xdr:cNvPr id="453" name="Arc 18">
          <a:extLst>
            <a:ext uri="{FF2B5EF4-FFF2-40B4-BE49-F238E27FC236}">
              <a16:creationId xmlns:a16="http://schemas.microsoft.com/office/drawing/2014/main" id="{D9151ECE-4146-427C-BE8A-56EFEF2258B3}"/>
            </a:ext>
          </a:extLst>
        </xdr:cNvPr>
        <xdr:cNvSpPr>
          <a:spLocks/>
        </xdr:cNvSpPr>
      </xdr:nvSpPr>
      <xdr:spPr bwMode="auto">
        <a:xfrm>
          <a:off x="28860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30</xdr:row>
      <xdr:rowOff>28575</xdr:rowOff>
    </xdr:from>
    <xdr:to>
      <xdr:col>45</xdr:col>
      <xdr:colOff>0</xdr:colOff>
      <xdr:row>31</xdr:row>
      <xdr:rowOff>85725</xdr:rowOff>
    </xdr:to>
    <xdr:sp macro="" textlink="">
      <xdr:nvSpPr>
        <xdr:cNvPr id="454" name="Arc 19">
          <a:extLst>
            <a:ext uri="{FF2B5EF4-FFF2-40B4-BE49-F238E27FC236}">
              <a16:creationId xmlns:a16="http://schemas.microsoft.com/office/drawing/2014/main" id="{B651C517-AB9C-4706-A751-C8A6A1B0A8E3}"/>
            </a:ext>
          </a:extLst>
        </xdr:cNvPr>
        <xdr:cNvSpPr>
          <a:spLocks/>
        </xdr:cNvSpPr>
      </xdr:nvSpPr>
      <xdr:spPr bwMode="auto">
        <a:xfrm>
          <a:off x="28860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68</xdr:row>
      <xdr:rowOff>28575</xdr:rowOff>
    </xdr:from>
    <xdr:to>
      <xdr:col>45</xdr:col>
      <xdr:colOff>0</xdr:colOff>
      <xdr:row>68</xdr:row>
      <xdr:rowOff>85725</xdr:rowOff>
    </xdr:to>
    <xdr:sp macro="" textlink="">
      <xdr:nvSpPr>
        <xdr:cNvPr id="455" name="Line 20">
          <a:extLst>
            <a:ext uri="{FF2B5EF4-FFF2-40B4-BE49-F238E27FC236}">
              <a16:creationId xmlns:a16="http://schemas.microsoft.com/office/drawing/2014/main" id="{71551934-E1B3-4FE1-98CE-99EFD4212973}"/>
            </a:ext>
          </a:extLst>
        </xdr:cNvPr>
        <xdr:cNvSpPr>
          <a:spLocks noChangeShapeType="1"/>
        </xdr:cNvSpPr>
      </xdr:nvSpPr>
      <xdr:spPr bwMode="auto">
        <a:xfrm flipH="1" flipV="1">
          <a:off x="288607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68</xdr:row>
      <xdr:rowOff>9525</xdr:rowOff>
    </xdr:from>
    <xdr:to>
      <xdr:col>45</xdr:col>
      <xdr:colOff>0</xdr:colOff>
      <xdr:row>68</xdr:row>
      <xdr:rowOff>76200</xdr:rowOff>
    </xdr:to>
    <xdr:sp macro="" textlink="">
      <xdr:nvSpPr>
        <xdr:cNvPr id="456" name="Line 21">
          <a:extLst>
            <a:ext uri="{FF2B5EF4-FFF2-40B4-BE49-F238E27FC236}">
              <a16:creationId xmlns:a16="http://schemas.microsoft.com/office/drawing/2014/main" id="{CA20414D-7C7B-4908-83F2-252A8A620923}"/>
            </a:ext>
          </a:extLst>
        </xdr:cNvPr>
        <xdr:cNvSpPr>
          <a:spLocks noChangeShapeType="1"/>
        </xdr:cNvSpPr>
      </xdr:nvSpPr>
      <xdr:spPr bwMode="auto">
        <a:xfrm flipV="1">
          <a:off x="288607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68</xdr:row>
      <xdr:rowOff>57150</xdr:rowOff>
    </xdr:from>
    <xdr:to>
      <xdr:col>45</xdr:col>
      <xdr:colOff>0</xdr:colOff>
      <xdr:row>68</xdr:row>
      <xdr:rowOff>57150</xdr:rowOff>
    </xdr:to>
    <xdr:sp macro="" textlink="">
      <xdr:nvSpPr>
        <xdr:cNvPr id="457" name="Line 22">
          <a:extLst>
            <a:ext uri="{FF2B5EF4-FFF2-40B4-BE49-F238E27FC236}">
              <a16:creationId xmlns:a16="http://schemas.microsoft.com/office/drawing/2014/main" id="{30FA3844-3BEF-4750-AA9C-C0EC8D9BFA4E}"/>
            </a:ext>
          </a:extLst>
        </xdr:cNvPr>
        <xdr:cNvSpPr>
          <a:spLocks noChangeShapeType="1"/>
        </xdr:cNvSpPr>
      </xdr:nvSpPr>
      <xdr:spPr bwMode="auto">
        <a:xfrm flipH="1">
          <a:off x="288607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30</xdr:row>
      <xdr:rowOff>152400</xdr:rowOff>
    </xdr:from>
    <xdr:to>
      <xdr:col>45</xdr:col>
      <xdr:colOff>0</xdr:colOff>
      <xdr:row>31</xdr:row>
      <xdr:rowOff>66675</xdr:rowOff>
    </xdr:to>
    <xdr:sp macro="" textlink="">
      <xdr:nvSpPr>
        <xdr:cNvPr id="458" name="Line 23">
          <a:extLst>
            <a:ext uri="{FF2B5EF4-FFF2-40B4-BE49-F238E27FC236}">
              <a16:creationId xmlns:a16="http://schemas.microsoft.com/office/drawing/2014/main" id="{DE953FB6-00BE-4919-9139-F41EDE4C9B25}"/>
            </a:ext>
          </a:extLst>
        </xdr:cNvPr>
        <xdr:cNvSpPr>
          <a:spLocks noChangeShapeType="1"/>
        </xdr:cNvSpPr>
      </xdr:nvSpPr>
      <xdr:spPr bwMode="auto">
        <a:xfrm flipV="1">
          <a:off x="28860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29</xdr:row>
      <xdr:rowOff>0</xdr:rowOff>
    </xdr:from>
    <xdr:to>
      <xdr:col>47</xdr:col>
      <xdr:colOff>0</xdr:colOff>
      <xdr:row>30</xdr:row>
      <xdr:rowOff>28575</xdr:rowOff>
    </xdr:to>
    <xdr:sp macro="" textlink="">
      <xdr:nvSpPr>
        <xdr:cNvPr id="473" name="Arc 9">
          <a:extLst>
            <a:ext uri="{FF2B5EF4-FFF2-40B4-BE49-F238E27FC236}">
              <a16:creationId xmlns:a16="http://schemas.microsoft.com/office/drawing/2014/main" id="{D92AB300-AED1-495D-81BC-AAE6523A0A88}"/>
            </a:ext>
          </a:extLst>
        </xdr:cNvPr>
        <xdr:cNvSpPr>
          <a:spLocks/>
        </xdr:cNvSpPr>
      </xdr:nvSpPr>
      <xdr:spPr bwMode="auto">
        <a:xfrm flipH="1">
          <a:off x="288607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29</xdr:row>
      <xdr:rowOff>0</xdr:rowOff>
    </xdr:from>
    <xdr:to>
      <xdr:col>47</xdr:col>
      <xdr:colOff>0</xdr:colOff>
      <xdr:row>30</xdr:row>
      <xdr:rowOff>47625</xdr:rowOff>
    </xdr:to>
    <xdr:sp macro="" textlink="">
      <xdr:nvSpPr>
        <xdr:cNvPr id="474" name="Arc 10">
          <a:extLst>
            <a:ext uri="{FF2B5EF4-FFF2-40B4-BE49-F238E27FC236}">
              <a16:creationId xmlns:a16="http://schemas.microsoft.com/office/drawing/2014/main" id="{2B338C0F-CB8E-457F-B1EF-ABCD50E9BDBA}"/>
            </a:ext>
          </a:extLst>
        </xdr:cNvPr>
        <xdr:cNvSpPr>
          <a:spLocks/>
        </xdr:cNvSpPr>
      </xdr:nvSpPr>
      <xdr:spPr bwMode="auto">
        <a:xfrm>
          <a:off x="288607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29</xdr:row>
      <xdr:rowOff>28575</xdr:rowOff>
    </xdr:from>
    <xdr:to>
      <xdr:col>47</xdr:col>
      <xdr:colOff>0</xdr:colOff>
      <xdr:row>30</xdr:row>
      <xdr:rowOff>85725</xdr:rowOff>
    </xdr:to>
    <xdr:sp macro="" textlink="">
      <xdr:nvSpPr>
        <xdr:cNvPr id="475" name="Arc 11">
          <a:extLst>
            <a:ext uri="{FF2B5EF4-FFF2-40B4-BE49-F238E27FC236}">
              <a16:creationId xmlns:a16="http://schemas.microsoft.com/office/drawing/2014/main" id="{56C3DF2F-34FC-4292-978E-FBF13FAC6A98}"/>
            </a:ext>
          </a:extLst>
        </xdr:cNvPr>
        <xdr:cNvSpPr>
          <a:spLocks/>
        </xdr:cNvSpPr>
      </xdr:nvSpPr>
      <xdr:spPr bwMode="auto">
        <a:xfrm>
          <a:off x="288607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68</xdr:row>
      <xdr:rowOff>28575</xdr:rowOff>
    </xdr:from>
    <xdr:to>
      <xdr:col>47</xdr:col>
      <xdr:colOff>0</xdr:colOff>
      <xdr:row>68</xdr:row>
      <xdr:rowOff>85725</xdr:rowOff>
    </xdr:to>
    <xdr:sp macro="" textlink="">
      <xdr:nvSpPr>
        <xdr:cNvPr id="476" name="Line 12">
          <a:extLst>
            <a:ext uri="{FF2B5EF4-FFF2-40B4-BE49-F238E27FC236}">
              <a16:creationId xmlns:a16="http://schemas.microsoft.com/office/drawing/2014/main" id="{44E585CC-2039-426D-8E97-411AA38C41B1}"/>
            </a:ext>
          </a:extLst>
        </xdr:cNvPr>
        <xdr:cNvSpPr>
          <a:spLocks noChangeShapeType="1"/>
        </xdr:cNvSpPr>
      </xdr:nvSpPr>
      <xdr:spPr bwMode="auto">
        <a:xfrm flipH="1" flipV="1">
          <a:off x="288607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68</xdr:row>
      <xdr:rowOff>9525</xdr:rowOff>
    </xdr:from>
    <xdr:to>
      <xdr:col>47</xdr:col>
      <xdr:colOff>0</xdr:colOff>
      <xdr:row>68</xdr:row>
      <xdr:rowOff>76200</xdr:rowOff>
    </xdr:to>
    <xdr:sp macro="" textlink="">
      <xdr:nvSpPr>
        <xdr:cNvPr id="477" name="Line 13">
          <a:extLst>
            <a:ext uri="{FF2B5EF4-FFF2-40B4-BE49-F238E27FC236}">
              <a16:creationId xmlns:a16="http://schemas.microsoft.com/office/drawing/2014/main" id="{F6F5A46C-4392-4E09-9ED5-821E76ECE68A}"/>
            </a:ext>
          </a:extLst>
        </xdr:cNvPr>
        <xdr:cNvSpPr>
          <a:spLocks noChangeShapeType="1"/>
        </xdr:cNvSpPr>
      </xdr:nvSpPr>
      <xdr:spPr bwMode="auto">
        <a:xfrm flipV="1">
          <a:off x="288607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68</xdr:row>
      <xdr:rowOff>57150</xdr:rowOff>
    </xdr:from>
    <xdr:to>
      <xdr:col>47</xdr:col>
      <xdr:colOff>0</xdr:colOff>
      <xdr:row>68</xdr:row>
      <xdr:rowOff>57150</xdr:rowOff>
    </xdr:to>
    <xdr:sp macro="" textlink="">
      <xdr:nvSpPr>
        <xdr:cNvPr id="478" name="Line 14">
          <a:extLst>
            <a:ext uri="{FF2B5EF4-FFF2-40B4-BE49-F238E27FC236}">
              <a16:creationId xmlns:a16="http://schemas.microsoft.com/office/drawing/2014/main" id="{80FFB702-722A-4CFE-AF31-96B8C12AF0C9}"/>
            </a:ext>
          </a:extLst>
        </xdr:cNvPr>
        <xdr:cNvSpPr>
          <a:spLocks noChangeShapeType="1"/>
        </xdr:cNvSpPr>
      </xdr:nvSpPr>
      <xdr:spPr bwMode="auto">
        <a:xfrm flipH="1">
          <a:off x="288607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29</xdr:row>
      <xdr:rowOff>152400</xdr:rowOff>
    </xdr:from>
    <xdr:to>
      <xdr:col>47</xdr:col>
      <xdr:colOff>0</xdr:colOff>
      <xdr:row>30</xdr:row>
      <xdr:rowOff>66675</xdr:rowOff>
    </xdr:to>
    <xdr:sp macro="" textlink="">
      <xdr:nvSpPr>
        <xdr:cNvPr id="479" name="Line 15">
          <a:extLst>
            <a:ext uri="{FF2B5EF4-FFF2-40B4-BE49-F238E27FC236}">
              <a16:creationId xmlns:a16="http://schemas.microsoft.com/office/drawing/2014/main" id="{00F56FF1-A2E6-48A4-B9C9-DF72ED14C055}"/>
            </a:ext>
          </a:extLst>
        </xdr:cNvPr>
        <xdr:cNvSpPr>
          <a:spLocks noChangeShapeType="1"/>
        </xdr:cNvSpPr>
      </xdr:nvSpPr>
      <xdr:spPr bwMode="auto">
        <a:xfrm flipV="1">
          <a:off x="288607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30</xdr:row>
      <xdr:rowOff>0</xdr:rowOff>
    </xdr:from>
    <xdr:to>
      <xdr:col>47</xdr:col>
      <xdr:colOff>0</xdr:colOff>
      <xdr:row>31</xdr:row>
      <xdr:rowOff>28575</xdr:rowOff>
    </xdr:to>
    <xdr:sp macro="" textlink="">
      <xdr:nvSpPr>
        <xdr:cNvPr id="480" name="Arc 17">
          <a:extLst>
            <a:ext uri="{FF2B5EF4-FFF2-40B4-BE49-F238E27FC236}">
              <a16:creationId xmlns:a16="http://schemas.microsoft.com/office/drawing/2014/main" id="{AF96D9A2-54A8-45B7-AFF4-CD926060B1B7}"/>
            </a:ext>
          </a:extLst>
        </xdr:cNvPr>
        <xdr:cNvSpPr>
          <a:spLocks/>
        </xdr:cNvSpPr>
      </xdr:nvSpPr>
      <xdr:spPr bwMode="auto">
        <a:xfrm flipH="1">
          <a:off x="288607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30</xdr:row>
      <xdr:rowOff>0</xdr:rowOff>
    </xdr:from>
    <xdr:to>
      <xdr:col>47</xdr:col>
      <xdr:colOff>0</xdr:colOff>
      <xdr:row>31</xdr:row>
      <xdr:rowOff>47625</xdr:rowOff>
    </xdr:to>
    <xdr:sp macro="" textlink="">
      <xdr:nvSpPr>
        <xdr:cNvPr id="481" name="Arc 18">
          <a:extLst>
            <a:ext uri="{FF2B5EF4-FFF2-40B4-BE49-F238E27FC236}">
              <a16:creationId xmlns:a16="http://schemas.microsoft.com/office/drawing/2014/main" id="{E350BE20-2F13-4014-B01E-50A628A17C60}"/>
            </a:ext>
          </a:extLst>
        </xdr:cNvPr>
        <xdr:cNvSpPr>
          <a:spLocks/>
        </xdr:cNvSpPr>
      </xdr:nvSpPr>
      <xdr:spPr bwMode="auto">
        <a:xfrm>
          <a:off x="288607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30</xdr:row>
      <xdr:rowOff>28575</xdr:rowOff>
    </xdr:from>
    <xdr:to>
      <xdr:col>47</xdr:col>
      <xdr:colOff>0</xdr:colOff>
      <xdr:row>31</xdr:row>
      <xdr:rowOff>85725</xdr:rowOff>
    </xdr:to>
    <xdr:sp macro="" textlink="">
      <xdr:nvSpPr>
        <xdr:cNvPr id="482" name="Arc 19">
          <a:extLst>
            <a:ext uri="{FF2B5EF4-FFF2-40B4-BE49-F238E27FC236}">
              <a16:creationId xmlns:a16="http://schemas.microsoft.com/office/drawing/2014/main" id="{429D57B5-7F84-4422-BE41-439113A5DAE1}"/>
            </a:ext>
          </a:extLst>
        </xdr:cNvPr>
        <xdr:cNvSpPr>
          <a:spLocks/>
        </xdr:cNvSpPr>
      </xdr:nvSpPr>
      <xdr:spPr bwMode="auto">
        <a:xfrm>
          <a:off x="288607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75</xdr:row>
      <xdr:rowOff>28575</xdr:rowOff>
    </xdr:from>
    <xdr:to>
      <xdr:col>47</xdr:col>
      <xdr:colOff>0</xdr:colOff>
      <xdr:row>75</xdr:row>
      <xdr:rowOff>85725</xdr:rowOff>
    </xdr:to>
    <xdr:sp macro="" textlink="">
      <xdr:nvSpPr>
        <xdr:cNvPr id="483" name="Line 20">
          <a:extLst>
            <a:ext uri="{FF2B5EF4-FFF2-40B4-BE49-F238E27FC236}">
              <a16:creationId xmlns:a16="http://schemas.microsoft.com/office/drawing/2014/main" id="{9D81AE52-8167-4643-A2A0-56EAFA725772}"/>
            </a:ext>
          </a:extLst>
        </xdr:cNvPr>
        <xdr:cNvSpPr>
          <a:spLocks noChangeShapeType="1"/>
        </xdr:cNvSpPr>
      </xdr:nvSpPr>
      <xdr:spPr bwMode="auto">
        <a:xfrm flipH="1" flipV="1">
          <a:off x="288607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75</xdr:row>
      <xdr:rowOff>9525</xdr:rowOff>
    </xdr:from>
    <xdr:to>
      <xdr:col>47</xdr:col>
      <xdr:colOff>0</xdr:colOff>
      <xdr:row>75</xdr:row>
      <xdr:rowOff>76200</xdr:rowOff>
    </xdr:to>
    <xdr:sp macro="" textlink="">
      <xdr:nvSpPr>
        <xdr:cNvPr id="484" name="Line 21">
          <a:extLst>
            <a:ext uri="{FF2B5EF4-FFF2-40B4-BE49-F238E27FC236}">
              <a16:creationId xmlns:a16="http://schemas.microsoft.com/office/drawing/2014/main" id="{F2383F34-D2E3-4957-95CA-11AC2CA53E60}"/>
            </a:ext>
          </a:extLst>
        </xdr:cNvPr>
        <xdr:cNvSpPr>
          <a:spLocks noChangeShapeType="1"/>
        </xdr:cNvSpPr>
      </xdr:nvSpPr>
      <xdr:spPr bwMode="auto">
        <a:xfrm flipV="1">
          <a:off x="288607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75</xdr:row>
      <xdr:rowOff>57150</xdr:rowOff>
    </xdr:from>
    <xdr:to>
      <xdr:col>47</xdr:col>
      <xdr:colOff>0</xdr:colOff>
      <xdr:row>75</xdr:row>
      <xdr:rowOff>57150</xdr:rowOff>
    </xdr:to>
    <xdr:sp macro="" textlink="">
      <xdr:nvSpPr>
        <xdr:cNvPr id="485" name="Line 22">
          <a:extLst>
            <a:ext uri="{FF2B5EF4-FFF2-40B4-BE49-F238E27FC236}">
              <a16:creationId xmlns:a16="http://schemas.microsoft.com/office/drawing/2014/main" id="{552CA88F-2812-45B4-8064-6EA25D39EB95}"/>
            </a:ext>
          </a:extLst>
        </xdr:cNvPr>
        <xdr:cNvSpPr>
          <a:spLocks noChangeShapeType="1"/>
        </xdr:cNvSpPr>
      </xdr:nvSpPr>
      <xdr:spPr bwMode="auto">
        <a:xfrm flipH="1">
          <a:off x="288607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30</xdr:row>
      <xdr:rowOff>152400</xdr:rowOff>
    </xdr:from>
    <xdr:to>
      <xdr:col>47</xdr:col>
      <xdr:colOff>0</xdr:colOff>
      <xdr:row>31</xdr:row>
      <xdr:rowOff>66675</xdr:rowOff>
    </xdr:to>
    <xdr:sp macro="" textlink="">
      <xdr:nvSpPr>
        <xdr:cNvPr id="486" name="Line 23">
          <a:extLst>
            <a:ext uri="{FF2B5EF4-FFF2-40B4-BE49-F238E27FC236}">
              <a16:creationId xmlns:a16="http://schemas.microsoft.com/office/drawing/2014/main" id="{355DE42C-27FE-4E0F-B67B-F0FE0C0C125D}"/>
            </a:ext>
          </a:extLst>
        </xdr:cNvPr>
        <xdr:cNvSpPr>
          <a:spLocks noChangeShapeType="1"/>
        </xdr:cNvSpPr>
      </xdr:nvSpPr>
      <xdr:spPr bwMode="auto">
        <a:xfrm flipV="1">
          <a:off x="288607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29</xdr:row>
      <xdr:rowOff>0</xdr:rowOff>
    </xdr:from>
    <xdr:to>
      <xdr:col>48</xdr:col>
      <xdr:colOff>0</xdr:colOff>
      <xdr:row>30</xdr:row>
      <xdr:rowOff>28575</xdr:rowOff>
    </xdr:to>
    <xdr:sp macro="" textlink="">
      <xdr:nvSpPr>
        <xdr:cNvPr id="487" name="Arc 9">
          <a:extLst>
            <a:ext uri="{FF2B5EF4-FFF2-40B4-BE49-F238E27FC236}">
              <a16:creationId xmlns:a16="http://schemas.microsoft.com/office/drawing/2014/main" id="{4E55696A-FC82-43B5-A416-190F95DA8BB7}"/>
            </a:ext>
          </a:extLst>
        </xdr:cNvPr>
        <xdr:cNvSpPr>
          <a:spLocks/>
        </xdr:cNvSpPr>
      </xdr:nvSpPr>
      <xdr:spPr bwMode="auto">
        <a:xfrm flipH="1">
          <a:off x="29432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29</xdr:row>
      <xdr:rowOff>0</xdr:rowOff>
    </xdr:from>
    <xdr:to>
      <xdr:col>48</xdr:col>
      <xdr:colOff>0</xdr:colOff>
      <xdr:row>30</xdr:row>
      <xdr:rowOff>47625</xdr:rowOff>
    </xdr:to>
    <xdr:sp macro="" textlink="">
      <xdr:nvSpPr>
        <xdr:cNvPr id="488" name="Arc 10">
          <a:extLst>
            <a:ext uri="{FF2B5EF4-FFF2-40B4-BE49-F238E27FC236}">
              <a16:creationId xmlns:a16="http://schemas.microsoft.com/office/drawing/2014/main" id="{E009D2E3-E46A-4553-97BC-F0855F82EBC6}"/>
            </a:ext>
          </a:extLst>
        </xdr:cNvPr>
        <xdr:cNvSpPr>
          <a:spLocks/>
        </xdr:cNvSpPr>
      </xdr:nvSpPr>
      <xdr:spPr bwMode="auto">
        <a:xfrm>
          <a:off x="29432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29</xdr:row>
      <xdr:rowOff>28575</xdr:rowOff>
    </xdr:from>
    <xdr:to>
      <xdr:col>48</xdr:col>
      <xdr:colOff>0</xdr:colOff>
      <xdr:row>30</xdr:row>
      <xdr:rowOff>85725</xdr:rowOff>
    </xdr:to>
    <xdr:sp macro="" textlink="">
      <xdr:nvSpPr>
        <xdr:cNvPr id="489" name="Arc 11">
          <a:extLst>
            <a:ext uri="{FF2B5EF4-FFF2-40B4-BE49-F238E27FC236}">
              <a16:creationId xmlns:a16="http://schemas.microsoft.com/office/drawing/2014/main" id="{BF47CEC7-2415-4E04-ADAC-5EABFD91152A}"/>
            </a:ext>
          </a:extLst>
        </xdr:cNvPr>
        <xdr:cNvSpPr>
          <a:spLocks/>
        </xdr:cNvSpPr>
      </xdr:nvSpPr>
      <xdr:spPr bwMode="auto">
        <a:xfrm>
          <a:off x="29432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83</xdr:row>
      <xdr:rowOff>28575</xdr:rowOff>
    </xdr:from>
    <xdr:to>
      <xdr:col>48</xdr:col>
      <xdr:colOff>0</xdr:colOff>
      <xdr:row>83</xdr:row>
      <xdr:rowOff>85725</xdr:rowOff>
    </xdr:to>
    <xdr:sp macro="" textlink="">
      <xdr:nvSpPr>
        <xdr:cNvPr id="490" name="Line 12">
          <a:extLst>
            <a:ext uri="{FF2B5EF4-FFF2-40B4-BE49-F238E27FC236}">
              <a16:creationId xmlns:a16="http://schemas.microsoft.com/office/drawing/2014/main" id="{A7B49CCD-9BCD-450C-AAD8-5723C42DE748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83</xdr:row>
      <xdr:rowOff>9525</xdr:rowOff>
    </xdr:from>
    <xdr:to>
      <xdr:col>48</xdr:col>
      <xdr:colOff>0</xdr:colOff>
      <xdr:row>83</xdr:row>
      <xdr:rowOff>76200</xdr:rowOff>
    </xdr:to>
    <xdr:sp macro="" textlink="">
      <xdr:nvSpPr>
        <xdr:cNvPr id="491" name="Line 13">
          <a:extLst>
            <a:ext uri="{FF2B5EF4-FFF2-40B4-BE49-F238E27FC236}">
              <a16:creationId xmlns:a16="http://schemas.microsoft.com/office/drawing/2014/main" id="{ADCF7540-C1CA-4EB5-9E1A-B24C350CFC52}"/>
            </a:ext>
          </a:extLst>
        </xdr:cNvPr>
        <xdr:cNvSpPr>
          <a:spLocks noChangeShapeType="1"/>
        </xdr:cNvSpPr>
      </xdr:nvSpPr>
      <xdr:spPr bwMode="auto">
        <a:xfrm flipV="1">
          <a:off x="294322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83</xdr:row>
      <xdr:rowOff>57150</xdr:rowOff>
    </xdr:from>
    <xdr:to>
      <xdr:col>48</xdr:col>
      <xdr:colOff>0</xdr:colOff>
      <xdr:row>83</xdr:row>
      <xdr:rowOff>57150</xdr:rowOff>
    </xdr:to>
    <xdr:sp macro="" textlink="">
      <xdr:nvSpPr>
        <xdr:cNvPr id="492" name="Line 14">
          <a:extLst>
            <a:ext uri="{FF2B5EF4-FFF2-40B4-BE49-F238E27FC236}">
              <a16:creationId xmlns:a16="http://schemas.microsoft.com/office/drawing/2014/main" id="{C376E685-4EB4-4754-A7DD-E97CF64B185E}"/>
            </a:ext>
          </a:extLst>
        </xdr:cNvPr>
        <xdr:cNvSpPr>
          <a:spLocks noChangeShapeType="1"/>
        </xdr:cNvSpPr>
      </xdr:nvSpPr>
      <xdr:spPr bwMode="auto">
        <a:xfrm flipH="1">
          <a:off x="294322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29</xdr:row>
      <xdr:rowOff>152400</xdr:rowOff>
    </xdr:from>
    <xdr:to>
      <xdr:col>48</xdr:col>
      <xdr:colOff>0</xdr:colOff>
      <xdr:row>30</xdr:row>
      <xdr:rowOff>66675</xdr:rowOff>
    </xdr:to>
    <xdr:sp macro="" textlink="">
      <xdr:nvSpPr>
        <xdr:cNvPr id="493" name="Line 15">
          <a:extLst>
            <a:ext uri="{FF2B5EF4-FFF2-40B4-BE49-F238E27FC236}">
              <a16:creationId xmlns:a16="http://schemas.microsoft.com/office/drawing/2014/main" id="{43CCC358-FDE9-45CB-ABD3-B7870A242053}"/>
            </a:ext>
          </a:extLst>
        </xdr:cNvPr>
        <xdr:cNvSpPr>
          <a:spLocks noChangeShapeType="1"/>
        </xdr:cNvSpPr>
      </xdr:nvSpPr>
      <xdr:spPr bwMode="auto">
        <a:xfrm flipV="1">
          <a:off x="29432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30</xdr:row>
      <xdr:rowOff>0</xdr:rowOff>
    </xdr:from>
    <xdr:to>
      <xdr:col>48</xdr:col>
      <xdr:colOff>0</xdr:colOff>
      <xdr:row>31</xdr:row>
      <xdr:rowOff>28575</xdr:rowOff>
    </xdr:to>
    <xdr:sp macro="" textlink="">
      <xdr:nvSpPr>
        <xdr:cNvPr id="494" name="Arc 17">
          <a:extLst>
            <a:ext uri="{FF2B5EF4-FFF2-40B4-BE49-F238E27FC236}">
              <a16:creationId xmlns:a16="http://schemas.microsoft.com/office/drawing/2014/main" id="{A2C9D6E5-20EA-4385-B761-1DBF959DBC39}"/>
            </a:ext>
          </a:extLst>
        </xdr:cNvPr>
        <xdr:cNvSpPr>
          <a:spLocks/>
        </xdr:cNvSpPr>
      </xdr:nvSpPr>
      <xdr:spPr bwMode="auto">
        <a:xfrm flipH="1">
          <a:off x="29432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30</xdr:row>
      <xdr:rowOff>0</xdr:rowOff>
    </xdr:from>
    <xdr:to>
      <xdr:col>48</xdr:col>
      <xdr:colOff>0</xdr:colOff>
      <xdr:row>31</xdr:row>
      <xdr:rowOff>47625</xdr:rowOff>
    </xdr:to>
    <xdr:sp macro="" textlink="">
      <xdr:nvSpPr>
        <xdr:cNvPr id="495" name="Arc 18">
          <a:extLst>
            <a:ext uri="{FF2B5EF4-FFF2-40B4-BE49-F238E27FC236}">
              <a16:creationId xmlns:a16="http://schemas.microsoft.com/office/drawing/2014/main" id="{1AE12050-99F5-4D9C-A532-CA87404D0AD6}"/>
            </a:ext>
          </a:extLst>
        </xdr:cNvPr>
        <xdr:cNvSpPr>
          <a:spLocks/>
        </xdr:cNvSpPr>
      </xdr:nvSpPr>
      <xdr:spPr bwMode="auto">
        <a:xfrm>
          <a:off x="29432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30</xdr:row>
      <xdr:rowOff>28575</xdr:rowOff>
    </xdr:from>
    <xdr:to>
      <xdr:col>48</xdr:col>
      <xdr:colOff>0</xdr:colOff>
      <xdr:row>31</xdr:row>
      <xdr:rowOff>85725</xdr:rowOff>
    </xdr:to>
    <xdr:sp macro="" textlink="">
      <xdr:nvSpPr>
        <xdr:cNvPr id="496" name="Arc 19">
          <a:extLst>
            <a:ext uri="{FF2B5EF4-FFF2-40B4-BE49-F238E27FC236}">
              <a16:creationId xmlns:a16="http://schemas.microsoft.com/office/drawing/2014/main" id="{D1AB1462-EBE0-4A90-A789-AC0E8FA15363}"/>
            </a:ext>
          </a:extLst>
        </xdr:cNvPr>
        <xdr:cNvSpPr>
          <a:spLocks/>
        </xdr:cNvSpPr>
      </xdr:nvSpPr>
      <xdr:spPr bwMode="auto">
        <a:xfrm>
          <a:off x="29432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38</xdr:row>
      <xdr:rowOff>28575</xdr:rowOff>
    </xdr:from>
    <xdr:to>
      <xdr:col>48</xdr:col>
      <xdr:colOff>0</xdr:colOff>
      <xdr:row>38</xdr:row>
      <xdr:rowOff>85725</xdr:rowOff>
    </xdr:to>
    <xdr:sp macro="" textlink="">
      <xdr:nvSpPr>
        <xdr:cNvPr id="497" name="Line 20">
          <a:extLst>
            <a:ext uri="{FF2B5EF4-FFF2-40B4-BE49-F238E27FC236}">
              <a16:creationId xmlns:a16="http://schemas.microsoft.com/office/drawing/2014/main" id="{21A4D3E9-BD2D-4A7D-8E2A-E2D8BE31F000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38</xdr:row>
      <xdr:rowOff>9525</xdr:rowOff>
    </xdr:from>
    <xdr:to>
      <xdr:col>48</xdr:col>
      <xdr:colOff>0</xdr:colOff>
      <xdr:row>38</xdr:row>
      <xdr:rowOff>76200</xdr:rowOff>
    </xdr:to>
    <xdr:sp macro="" textlink="">
      <xdr:nvSpPr>
        <xdr:cNvPr id="498" name="Line 21">
          <a:extLst>
            <a:ext uri="{FF2B5EF4-FFF2-40B4-BE49-F238E27FC236}">
              <a16:creationId xmlns:a16="http://schemas.microsoft.com/office/drawing/2014/main" id="{B8D8AE3F-2594-412A-BD16-6ED50D836BA3}"/>
            </a:ext>
          </a:extLst>
        </xdr:cNvPr>
        <xdr:cNvSpPr>
          <a:spLocks noChangeShapeType="1"/>
        </xdr:cNvSpPr>
      </xdr:nvSpPr>
      <xdr:spPr bwMode="auto">
        <a:xfrm flipV="1">
          <a:off x="294322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38</xdr:row>
      <xdr:rowOff>57150</xdr:rowOff>
    </xdr:from>
    <xdr:to>
      <xdr:col>48</xdr:col>
      <xdr:colOff>0</xdr:colOff>
      <xdr:row>38</xdr:row>
      <xdr:rowOff>57150</xdr:rowOff>
    </xdr:to>
    <xdr:sp macro="" textlink="">
      <xdr:nvSpPr>
        <xdr:cNvPr id="499" name="Line 22">
          <a:extLst>
            <a:ext uri="{FF2B5EF4-FFF2-40B4-BE49-F238E27FC236}">
              <a16:creationId xmlns:a16="http://schemas.microsoft.com/office/drawing/2014/main" id="{A01AF7B9-FA58-436D-B2E0-AD4BD2550E8D}"/>
            </a:ext>
          </a:extLst>
        </xdr:cNvPr>
        <xdr:cNvSpPr>
          <a:spLocks noChangeShapeType="1"/>
        </xdr:cNvSpPr>
      </xdr:nvSpPr>
      <xdr:spPr bwMode="auto">
        <a:xfrm flipH="1">
          <a:off x="294322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30</xdr:row>
      <xdr:rowOff>152400</xdr:rowOff>
    </xdr:from>
    <xdr:to>
      <xdr:col>48</xdr:col>
      <xdr:colOff>0</xdr:colOff>
      <xdr:row>31</xdr:row>
      <xdr:rowOff>66675</xdr:rowOff>
    </xdr:to>
    <xdr:sp macro="" textlink="">
      <xdr:nvSpPr>
        <xdr:cNvPr id="500" name="Line 23">
          <a:extLst>
            <a:ext uri="{FF2B5EF4-FFF2-40B4-BE49-F238E27FC236}">
              <a16:creationId xmlns:a16="http://schemas.microsoft.com/office/drawing/2014/main" id="{904F4502-E697-4DB0-AFE3-A8CDA9D3A953}"/>
            </a:ext>
          </a:extLst>
        </xdr:cNvPr>
        <xdr:cNvSpPr>
          <a:spLocks noChangeShapeType="1"/>
        </xdr:cNvSpPr>
      </xdr:nvSpPr>
      <xdr:spPr bwMode="auto">
        <a:xfrm flipV="1">
          <a:off x="29432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0</xdr:colOff>
      <xdr:row>30</xdr:row>
      <xdr:rowOff>28575</xdr:rowOff>
    </xdr:to>
    <xdr:sp macro="" textlink="">
      <xdr:nvSpPr>
        <xdr:cNvPr id="501" name="Arc 9">
          <a:extLst>
            <a:ext uri="{FF2B5EF4-FFF2-40B4-BE49-F238E27FC236}">
              <a16:creationId xmlns:a16="http://schemas.microsoft.com/office/drawing/2014/main" id="{A1EF8390-3B6A-447F-8C8B-C3573E599035}"/>
            </a:ext>
          </a:extLst>
        </xdr:cNvPr>
        <xdr:cNvSpPr>
          <a:spLocks/>
        </xdr:cNvSpPr>
      </xdr:nvSpPr>
      <xdr:spPr bwMode="auto">
        <a:xfrm flipH="1">
          <a:off x="29432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0</xdr:colOff>
      <xdr:row>30</xdr:row>
      <xdr:rowOff>47625</xdr:rowOff>
    </xdr:to>
    <xdr:sp macro="" textlink="">
      <xdr:nvSpPr>
        <xdr:cNvPr id="502" name="Arc 10">
          <a:extLst>
            <a:ext uri="{FF2B5EF4-FFF2-40B4-BE49-F238E27FC236}">
              <a16:creationId xmlns:a16="http://schemas.microsoft.com/office/drawing/2014/main" id="{FB25B6A7-E2AC-4670-8D28-5D194E9D18CC}"/>
            </a:ext>
          </a:extLst>
        </xdr:cNvPr>
        <xdr:cNvSpPr>
          <a:spLocks/>
        </xdr:cNvSpPr>
      </xdr:nvSpPr>
      <xdr:spPr bwMode="auto">
        <a:xfrm>
          <a:off x="29432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28575</xdr:rowOff>
    </xdr:from>
    <xdr:to>
      <xdr:col>49</xdr:col>
      <xdr:colOff>0</xdr:colOff>
      <xdr:row>30</xdr:row>
      <xdr:rowOff>85725</xdr:rowOff>
    </xdr:to>
    <xdr:sp macro="" textlink="">
      <xdr:nvSpPr>
        <xdr:cNvPr id="503" name="Arc 11">
          <a:extLst>
            <a:ext uri="{FF2B5EF4-FFF2-40B4-BE49-F238E27FC236}">
              <a16:creationId xmlns:a16="http://schemas.microsoft.com/office/drawing/2014/main" id="{A2980D9E-DB6D-4BA9-B389-7AA783DAD1F8}"/>
            </a:ext>
          </a:extLst>
        </xdr:cNvPr>
        <xdr:cNvSpPr>
          <a:spLocks/>
        </xdr:cNvSpPr>
      </xdr:nvSpPr>
      <xdr:spPr bwMode="auto">
        <a:xfrm>
          <a:off x="29432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93</xdr:row>
      <xdr:rowOff>28575</xdr:rowOff>
    </xdr:from>
    <xdr:to>
      <xdr:col>49</xdr:col>
      <xdr:colOff>0</xdr:colOff>
      <xdr:row>93</xdr:row>
      <xdr:rowOff>85725</xdr:rowOff>
    </xdr:to>
    <xdr:sp macro="" textlink="">
      <xdr:nvSpPr>
        <xdr:cNvPr id="504" name="Line 12">
          <a:extLst>
            <a:ext uri="{FF2B5EF4-FFF2-40B4-BE49-F238E27FC236}">
              <a16:creationId xmlns:a16="http://schemas.microsoft.com/office/drawing/2014/main" id="{6AC7E588-5316-49E6-A1EC-4B7957F1E17C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93</xdr:row>
      <xdr:rowOff>9525</xdr:rowOff>
    </xdr:from>
    <xdr:to>
      <xdr:col>49</xdr:col>
      <xdr:colOff>0</xdr:colOff>
      <xdr:row>93</xdr:row>
      <xdr:rowOff>76200</xdr:rowOff>
    </xdr:to>
    <xdr:sp macro="" textlink="">
      <xdr:nvSpPr>
        <xdr:cNvPr id="505" name="Line 13">
          <a:extLst>
            <a:ext uri="{FF2B5EF4-FFF2-40B4-BE49-F238E27FC236}">
              <a16:creationId xmlns:a16="http://schemas.microsoft.com/office/drawing/2014/main" id="{5CDE9E77-4F12-48DD-9C22-13DDD54950D1}"/>
            </a:ext>
          </a:extLst>
        </xdr:cNvPr>
        <xdr:cNvSpPr>
          <a:spLocks noChangeShapeType="1"/>
        </xdr:cNvSpPr>
      </xdr:nvSpPr>
      <xdr:spPr bwMode="auto">
        <a:xfrm flipV="1">
          <a:off x="294322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93</xdr:row>
      <xdr:rowOff>57150</xdr:rowOff>
    </xdr:from>
    <xdr:to>
      <xdr:col>49</xdr:col>
      <xdr:colOff>0</xdr:colOff>
      <xdr:row>93</xdr:row>
      <xdr:rowOff>57150</xdr:rowOff>
    </xdr:to>
    <xdr:sp macro="" textlink="">
      <xdr:nvSpPr>
        <xdr:cNvPr id="506" name="Line 14">
          <a:extLst>
            <a:ext uri="{FF2B5EF4-FFF2-40B4-BE49-F238E27FC236}">
              <a16:creationId xmlns:a16="http://schemas.microsoft.com/office/drawing/2014/main" id="{2E84D9F6-67E9-4907-A2AE-CE631AE91CAD}"/>
            </a:ext>
          </a:extLst>
        </xdr:cNvPr>
        <xdr:cNvSpPr>
          <a:spLocks noChangeShapeType="1"/>
        </xdr:cNvSpPr>
      </xdr:nvSpPr>
      <xdr:spPr bwMode="auto">
        <a:xfrm flipH="1">
          <a:off x="294322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152400</xdr:rowOff>
    </xdr:from>
    <xdr:to>
      <xdr:col>49</xdr:col>
      <xdr:colOff>0</xdr:colOff>
      <xdr:row>30</xdr:row>
      <xdr:rowOff>66675</xdr:rowOff>
    </xdr:to>
    <xdr:sp macro="" textlink="">
      <xdr:nvSpPr>
        <xdr:cNvPr id="507" name="Line 15">
          <a:extLst>
            <a:ext uri="{FF2B5EF4-FFF2-40B4-BE49-F238E27FC236}">
              <a16:creationId xmlns:a16="http://schemas.microsoft.com/office/drawing/2014/main" id="{DEBC46C9-B370-479C-889A-9F9F429DE2FA}"/>
            </a:ext>
          </a:extLst>
        </xdr:cNvPr>
        <xdr:cNvSpPr>
          <a:spLocks noChangeShapeType="1"/>
        </xdr:cNvSpPr>
      </xdr:nvSpPr>
      <xdr:spPr bwMode="auto">
        <a:xfrm flipV="1">
          <a:off x="29432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0</xdr:colOff>
      <xdr:row>31</xdr:row>
      <xdr:rowOff>28575</xdr:rowOff>
    </xdr:to>
    <xdr:sp macro="" textlink="">
      <xdr:nvSpPr>
        <xdr:cNvPr id="508" name="Arc 17">
          <a:extLst>
            <a:ext uri="{FF2B5EF4-FFF2-40B4-BE49-F238E27FC236}">
              <a16:creationId xmlns:a16="http://schemas.microsoft.com/office/drawing/2014/main" id="{C1E286CE-2367-40E6-9E54-E40BD8F14110}"/>
            </a:ext>
          </a:extLst>
        </xdr:cNvPr>
        <xdr:cNvSpPr>
          <a:spLocks/>
        </xdr:cNvSpPr>
      </xdr:nvSpPr>
      <xdr:spPr bwMode="auto">
        <a:xfrm flipH="1">
          <a:off x="29432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0</xdr:colOff>
      <xdr:row>31</xdr:row>
      <xdr:rowOff>47625</xdr:rowOff>
    </xdr:to>
    <xdr:sp macro="" textlink="">
      <xdr:nvSpPr>
        <xdr:cNvPr id="509" name="Arc 18">
          <a:extLst>
            <a:ext uri="{FF2B5EF4-FFF2-40B4-BE49-F238E27FC236}">
              <a16:creationId xmlns:a16="http://schemas.microsoft.com/office/drawing/2014/main" id="{0EDA7064-32D5-47F8-99C0-18B739D8966E}"/>
            </a:ext>
          </a:extLst>
        </xdr:cNvPr>
        <xdr:cNvSpPr>
          <a:spLocks/>
        </xdr:cNvSpPr>
      </xdr:nvSpPr>
      <xdr:spPr bwMode="auto">
        <a:xfrm>
          <a:off x="29432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30</xdr:row>
      <xdr:rowOff>28575</xdr:rowOff>
    </xdr:from>
    <xdr:to>
      <xdr:col>49</xdr:col>
      <xdr:colOff>0</xdr:colOff>
      <xdr:row>31</xdr:row>
      <xdr:rowOff>85725</xdr:rowOff>
    </xdr:to>
    <xdr:sp macro="" textlink="">
      <xdr:nvSpPr>
        <xdr:cNvPr id="510" name="Arc 19">
          <a:extLst>
            <a:ext uri="{FF2B5EF4-FFF2-40B4-BE49-F238E27FC236}">
              <a16:creationId xmlns:a16="http://schemas.microsoft.com/office/drawing/2014/main" id="{7A56CA0F-C646-4D33-A1F8-CE92D17BFC05}"/>
            </a:ext>
          </a:extLst>
        </xdr:cNvPr>
        <xdr:cNvSpPr>
          <a:spLocks/>
        </xdr:cNvSpPr>
      </xdr:nvSpPr>
      <xdr:spPr bwMode="auto">
        <a:xfrm>
          <a:off x="29432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84</xdr:row>
      <xdr:rowOff>28575</xdr:rowOff>
    </xdr:from>
    <xdr:to>
      <xdr:col>49</xdr:col>
      <xdr:colOff>0</xdr:colOff>
      <xdr:row>84</xdr:row>
      <xdr:rowOff>85725</xdr:rowOff>
    </xdr:to>
    <xdr:sp macro="" textlink="">
      <xdr:nvSpPr>
        <xdr:cNvPr id="511" name="Line 20">
          <a:extLst>
            <a:ext uri="{FF2B5EF4-FFF2-40B4-BE49-F238E27FC236}">
              <a16:creationId xmlns:a16="http://schemas.microsoft.com/office/drawing/2014/main" id="{F6BEC4BA-EAE7-48B8-B413-6CB574F911FA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84</xdr:row>
      <xdr:rowOff>9525</xdr:rowOff>
    </xdr:from>
    <xdr:to>
      <xdr:col>49</xdr:col>
      <xdr:colOff>0</xdr:colOff>
      <xdr:row>84</xdr:row>
      <xdr:rowOff>76200</xdr:rowOff>
    </xdr:to>
    <xdr:sp macro="" textlink="">
      <xdr:nvSpPr>
        <xdr:cNvPr id="512" name="Line 21">
          <a:extLst>
            <a:ext uri="{FF2B5EF4-FFF2-40B4-BE49-F238E27FC236}">
              <a16:creationId xmlns:a16="http://schemas.microsoft.com/office/drawing/2014/main" id="{135736CC-6ABF-47D4-9E29-1789E6E656E9}"/>
            </a:ext>
          </a:extLst>
        </xdr:cNvPr>
        <xdr:cNvSpPr>
          <a:spLocks noChangeShapeType="1"/>
        </xdr:cNvSpPr>
      </xdr:nvSpPr>
      <xdr:spPr bwMode="auto">
        <a:xfrm flipV="1">
          <a:off x="294322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84</xdr:row>
      <xdr:rowOff>57150</xdr:rowOff>
    </xdr:from>
    <xdr:to>
      <xdr:col>49</xdr:col>
      <xdr:colOff>0</xdr:colOff>
      <xdr:row>84</xdr:row>
      <xdr:rowOff>57150</xdr:rowOff>
    </xdr:to>
    <xdr:sp macro="" textlink="">
      <xdr:nvSpPr>
        <xdr:cNvPr id="513" name="Line 22">
          <a:extLst>
            <a:ext uri="{FF2B5EF4-FFF2-40B4-BE49-F238E27FC236}">
              <a16:creationId xmlns:a16="http://schemas.microsoft.com/office/drawing/2014/main" id="{B65B6AF0-888D-4F1D-B9C8-788AA23A83E6}"/>
            </a:ext>
          </a:extLst>
        </xdr:cNvPr>
        <xdr:cNvSpPr>
          <a:spLocks noChangeShapeType="1"/>
        </xdr:cNvSpPr>
      </xdr:nvSpPr>
      <xdr:spPr bwMode="auto">
        <a:xfrm flipH="1">
          <a:off x="294322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30</xdr:row>
      <xdr:rowOff>152400</xdr:rowOff>
    </xdr:from>
    <xdr:to>
      <xdr:col>49</xdr:col>
      <xdr:colOff>0</xdr:colOff>
      <xdr:row>31</xdr:row>
      <xdr:rowOff>66675</xdr:rowOff>
    </xdr:to>
    <xdr:sp macro="" textlink="">
      <xdr:nvSpPr>
        <xdr:cNvPr id="514" name="Line 23">
          <a:extLst>
            <a:ext uri="{FF2B5EF4-FFF2-40B4-BE49-F238E27FC236}">
              <a16:creationId xmlns:a16="http://schemas.microsoft.com/office/drawing/2014/main" id="{A5A61002-A862-45FB-B637-3A325A8E213A}"/>
            </a:ext>
          </a:extLst>
        </xdr:cNvPr>
        <xdr:cNvSpPr>
          <a:spLocks noChangeShapeType="1"/>
        </xdr:cNvSpPr>
      </xdr:nvSpPr>
      <xdr:spPr bwMode="auto">
        <a:xfrm flipV="1">
          <a:off x="29432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0</xdr:rowOff>
    </xdr:from>
    <xdr:to>
      <xdr:col>50</xdr:col>
      <xdr:colOff>0</xdr:colOff>
      <xdr:row>30</xdr:row>
      <xdr:rowOff>28575</xdr:rowOff>
    </xdr:to>
    <xdr:sp macro="" textlink="">
      <xdr:nvSpPr>
        <xdr:cNvPr id="515" name="Arc 9">
          <a:extLst>
            <a:ext uri="{FF2B5EF4-FFF2-40B4-BE49-F238E27FC236}">
              <a16:creationId xmlns:a16="http://schemas.microsoft.com/office/drawing/2014/main" id="{B92C5846-3DF5-4E2E-B5C0-250DA32D93B5}"/>
            </a:ext>
          </a:extLst>
        </xdr:cNvPr>
        <xdr:cNvSpPr>
          <a:spLocks/>
        </xdr:cNvSpPr>
      </xdr:nvSpPr>
      <xdr:spPr bwMode="auto">
        <a:xfrm flipH="1">
          <a:off x="2943225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0</xdr:rowOff>
    </xdr:from>
    <xdr:to>
      <xdr:col>50</xdr:col>
      <xdr:colOff>0</xdr:colOff>
      <xdr:row>30</xdr:row>
      <xdr:rowOff>47625</xdr:rowOff>
    </xdr:to>
    <xdr:sp macro="" textlink="">
      <xdr:nvSpPr>
        <xdr:cNvPr id="516" name="Arc 10">
          <a:extLst>
            <a:ext uri="{FF2B5EF4-FFF2-40B4-BE49-F238E27FC236}">
              <a16:creationId xmlns:a16="http://schemas.microsoft.com/office/drawing/2014/main" id="{857BF3AC-111B-45ED-AC0D-51C39CDB2263}"/>
            </a:ext>
          </a:extLst>
        </xdr:cNvPr>
        <xdr:cNvSpPr>
          <a:spLocks/>
        </xdr:cNvSpPr>
      </xdr:nvSpPr>
      <xdr:spPr bwMode="auto">
        <a:xfrm>
          <a:off x="2943225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28575</xdr:rowOff>
    </xdr:from>
    <xdr:to>
      <xdr:col>50</xdr:col>
      <xdr:colOff>0</xdr:colOff>
      <xdr:row>30</xdr:row>
      <xdr:rowOff>85725</xdr:rowOff>
    </xdr:to>
    <xdr:sp macro="" textlink="">
      <xdr:nvSpPr>
        <xdr:cNvPr id="517" name="Arc 11">
          <a:extLst>
            <a:ext uri="{FF2B5EF4-FFF2-40B4-BE49-F238E27FC236}">
              <a16:creationId xmlns:a16="http://schemas.microsoft.com/office/drawing/2014/main" id="{DFC943DC-E063-4DA6-BB1B-8C2C1715D2BF}"/>
            </a:ext>
          </a:extLst>
        </xdr:cNvPr>
        <xdr:cNvSpPr>
          <a:spLocks/>
        </xdr:cNvSpPr>
      </xdr:nvSpPr>
      <xdr:spPr bwMode="auto">
        <a:xfrm>
          <a:off x="2943225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61</xdr:row>
      <xdr:rowOff>28575</xdr:rowOff>
    </xdr:from>
    <xdr:to>
      <xdr:col>50</xdr:col>
      <xdr:colOff>0</xdr:colOff>
      <xdr:row>61</xdr:row>
      <xdr:rowOff>85725</xdr:rowOff>
    </xdr:to>
    <xdr:sp macro="" textlink="">
      <xdr:nvSpPr>
        <xdr:cNvPr id="518" name="Line 12">
          <a:extLst>
            <a:ext uri="{FF2B5EF4-FFF2-40B4-BE49-F238E27FC236}">
              <a16:creationId xmlns:a16="http://schemas.microsoft.com/office/drawing/2014/main" id="{B3237066-E715-4FB8-93F9-03CA7CE72E35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61</xdr:row>
      <xdr:rowOff>9525</xdr:rowOff>
    </xdr:from>
    <xdr:to>
      <xdr:col>50</xdr:col>
      <xdr:colOff>0</xdr:colOff>
      <xdr:row>61</xdr:row>
      <xdr:rowOff>76200</xdr:rowOff>
    </xdr:to>
    <xdr:sp macro="" textlink="">
      <xdr:nvSpPr>
        <xdr:cNvPr id="519" name="Line 13">
          <a:extLst>
            <a:ext uri="{FF2B5EF4-FFF2-40B4-BE49-F238E27FC236}">
              <a16:creationId xmlns:a16="http://schemas.microsoft.com/office/drawing/2014/main" id="{818FFC73-FF13-437D-9FFB-413867203DA8}"/>
            </a:ext>
          </a:extLst>
        </xdr:cNvPr>
        <xdr:cNvSpPr>
          <a:spLocks noChangeShapeType="1"/>
        </xdr:cNvSpPr>
      </xdr:nvSpPr>
      <xdr:spPr bwMode="auto">
        <a:xfrm flipV="1">
          <a:off x="2943225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61</xdr:row>
      <xdr:rowOff>57150</xdr:rowOff>
    </xdr:from>
    <xdr:to>
      <xdr:col>50</xdr:col>
      <xdr:colOff>0</xdr:colOff>
      <xdr:row>61</xdr:row>
      <xdr:rowOff>57150</xdr:rowOff>
    </xdr:to>
    <xdr:sp macro="" textlink="">
      <xdr:nvSpPr>
        <xdr:cNvPr id="520" name="Line 14">
          <a:extLst>
            <a:ext uri="{FF2B5EF4-FFF2-40B4-BE49-F238E27FC236}">
              <a16:creationId xmlns:a16="http://schemas.microsoft.com/office/drawing/2014/main" id="{5CAF2C43-E46C-43DD-A1D9-DB556161C2A0}"/>
            </a:ext>
          </a:extLst>
        </xdr:cNvPr>
        <xdr:cNvSpPr>
          <a:spLocks noChangeShapeType="1"/>
        </xdr:cNvSpPr>
      </xdr:nvSpPr>
      <xdr:spPr bwMode="auto">
        <a:xfrm flipH="1">
          <a:off x="2943225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29</xdr:row>
      <xdr:rowOff>152400</xdr:rowOff>
    </xdr:from>
    <xdr:to>
      <xdr:col>50</xdr:col>
      <xdr:colOff>0</xdr:colOff>
      <xdr:row>30</xdr:row>
      <xdr:rowOff>66675</xdr:rowOff>
    </xdr:to>
    <xdr:sp macro="" textlink="">
      <xdr:nvSpPr>
        <xdr:cNvPr id="521" name="Line 15">
          <a:extLst>
            <a:ext uri="{FF2B5EF4-FFF2-40B4-BE49-F238E27FC236}">
              <a16:creationId xmlns:a16="http://schemas.microsoft.com/office/drawing/2014/main" id="{925B51C4-CBBB-4F7F-9304-9A41ED8E29FF}"/>
            </a:ext>
          </a:extLst>
        </xdr:cNvPr>
        <xdr:cNvSpPr>
          <a:spLocks noChangeShapeType="1"/>
        </xdr:cNvSpPr>
      </xdr:nvSpPr>
      <xdr:spPr bwMode="auto">
        <a:xfrm flipV="1">
          <a:off x="2943225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0</xdr:rowOff>
    </xdr:from>
    <xdr:to>
      <xdr:col>50</xdr:col>
      <xdr:colOff>0</xdr:colOff>
      <xdr:row>31</xdr:row>
      <xdr:rowOff>28575</xdr:rowOff>
    </xdr:to>
    <xdr:sp macro="" textlink="">
      <xdr:nvSpPr>
        <xdr:cNvPr id="522" name="Arc 17">
          <a:extLst>
            <a:ext uri="{FF2B5EF4-FFF2-40B4-BE49-F238E27FC236}">
              <a16:creationId xmlns:a16="http://schemas.microsoft.com/office/drawing/2014/main" id="{797329C1-39C7-446C-BF89-CDE002110609}"/>
            </a:ext>
          </a:extLst>
        </xdr:cNvPr>
        <xdr:cNvSpPr>
          <a:spLocks/>
        </xdr:cNvSpPr>
      </xdr:nvSpPr>
      <xdr:spPr bwMode="auto">
        <a:xfrm flipH="1">
          <a:off x="2943225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0</xdr:rowOff>
    </xdr:from>
    <xdr:to>
      <xdr:col>50</xdr:col>
      <xdr:colOff>0</xdr:colOff>
      <xdr:row>31</xdr:row>
      <xdr:rowOff>47625</xdr:rowOff>
    </xdr:to>
    <xdr:sp macro="" textlink="">
      <xdr:nvSpPr>
        <xdr:cNvPr id="523" name="Arc 18">
          <a:extLst>
            <a:ext uri="{FF2B5EF4-FFF2-40B4-BE49-F238E27FC236}">
              <a16:creationId xmlns:a16="http://schemas.microsoft.com/office/drawing/2014/main" id="{0D0F5FDF-6D89-4C89-9418-791612880B4A}"/>
            </a:ext>
          </a:extLst>
        </xdr:cNvPr>
        <xdr:cNvSpPr>
          <a:spLocks/>
        </xdr:cNvSpPr>
      </xdr:nvSpPr>
      <xdr:spPr bwMode="auto">
        <a:xfrm>
          <a:off x="2943225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28575</xdr:rowOff>
    </xdr:from>
    <xdr:to>
      <xdr:col>50</xdr:col>
      <xdr:colOff>0</xdr:colOff>
      <xdr:row>31</xdr:row>
      <xdr:rowOff>85725</xdr:rowOff>
    </xdr:to>
    <xdr:sp macro="" textlink="">
      <xdr:nvSpPr>
        <xdr:cNvPr id="524" name="Arc 19">
          <a:extLst>
            <a:ext uri="{FF2B5EF4-FFF2-40B4-BE49-F238E27FC236}">
              <a16:creationId xmlns:a16="http://schemas.microsoft.com/office/drawing/2014/main" id="{32760D1C-23CA-4B72-9412-C807D4B5C03F}"/>
            </a:ext>
          </a:extLst>
        </xdr:cNvPr>
        <xdr:cNvSpPr>
          <a:spLocks/>
        </xdr:cNvSpPr>
      </xdr:nvSpPr>
      <xdr:spPr bwMode="auto">
        <a:xfrm>
          <a:off x="2943225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50</xdr:col>
      <xdr:colOff>0</xdr:colOff>
      <xdr:row>91</xdr:row>
      <xdr:rowOff>28575</xdr:rowOff>
    </xdr:from>
    <xdr:to>
      <xdr:col>50</xdr:col>
      <xdr:colOff>0</xdr:colOff>
      <xdr:row>91</xdr:row>
      <xdr:rowOff>85725</xdr:rowOff>
    </xdr:to>
    <xdr:sp macro="" textlink="">
      <xdr:nvSpPr>
        <xdr:cNvPr id="525" name="Line 20">
          <a:extLst>
            <a:ext uri="{FF2B5EF4-FFF2-40B4-BE49-F238E27FC236}">
              <a16:creationId xmlns:a16="http://schemas.microsoft.com/office/drawing/2014/main" id="{600A8F12-6F1B-412C-AF8C-F167B9792EEA}"/>
            </a:ext>
          </a:extLst>
        </xdr:cNvPr>
        <xdr:cNvSpPr>
          <a:spLocks noChangeShapeType="1"/>
        </xdr:cNvSpPr>
      </xdr:nvSpPr>
      <xdr:spPr bwMode="auto">
        <a:xfrm flipH="1" flipV="1">
          <a:off x="2943225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91</xdr:row>
      <xdr:rowOff>9525</xdr:rowOff>
    </xdr:from>
    <xdr:to>
      <xdr:col>50</xdr:col>
      <xdr:colOff>0</xdr:colOff>
      <xdr:row>91</xdr:row>
      <xdr:rowOff>76200</xdr:rowOff>
    </xdr:to>
    <xdr:sp macro="" textlink="">
      <xdr:nvSpPr>
        <xdr:cNvPr id="526" name="Line 21">
          <a:extLst>
            <a:ext uri="{FF2B5EF4-FFF2-40B4-BE49-F238E27FC236}">
              <a16:creationId xmlns:a16="http://schemas.microsoft.com/office/drawing/2014/main" id="{0B1F1BA4-C348-456A-AA9E-E318B4C9A641}"/>
            </a:ext>
          </a:extLst>
        </xdr:cNvPr>
        <xdr:cNvSpPr>
          <a:spLocks noChangeShapeType="1"/>
        </xdr:cNvSpPr>
      </xdr:nvSpPr>
      <xdr:spPr bwMode="auto">
        <a:xfrm flipV="1">
          <a:off x="2943225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91</xdr:row>
      <xdr:rowOff>57150</xdr:rowOff>
    </xdr:from>
    <xdr:to>
      <xdr:col>50</xdr:col>
      <xdr:colOff>0</xdr:colOff>
      <xdr:row>91</xdr:row>
      <xdr:rowOff>57150</xdr:rowOff>
    </xdr:to>
    <xdr:sp macro="" textlink="">
      <xdr:nvSpPr>
        <xdr:cNvPr id="527" name="Line 22">
          <a:extLst>
            <a:ext uri="{FF2B5EF4-FFF2-40B4-BE49-F238E27FC236}">
              <a16:creationId xmlns:a16="http://schemas.microsoft.com/office/drawing/2014/main" id="{7025ECD7-AEDE-4333-95C7-0C10170520EE}"/>
            </a:ext>
          </a:extLst>
        </xdr:cNvPr>
        <xdr:cNvSpPr>
          <a:spLocks noChangeShapeType="1"/>
        </xdr:cNvSpPr>
      </xdr:nvSpPr>
      <xdr:spPr bwMode="auto">
        <a:xfrm flipH="1">
          <a:off x="2943225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30</xdr:row>
      <xdr:rowOff>152400</xdr:rowOff>
    </xdr:from>
    <xdr:to>
      <xdr:col>50</xdr:col>
      <xdr:colOff>0</xdr:colOff>
      <xdr:row>31</xdr:row>
      <xdr:rowOff>66675</xdr:rowOff>
    </xdr:to>
    <xdr:sp macro="" textlink="">
      <xdr:nvSpPr>
        <xdr:cNvPr id="528" name="Line 23">
          <a:extLst>
            <a:ext uri="{FF2B5EF4-FFF2-40B4-BE49-F238E27FC236}">
              <a16:creationId xmlns:a16="http://schemas.microsoft.com/office/drawing/2014/main" id="{88A92E0D-F7BE-417A-BFF4-DAC4674980BC}"/>
            </a:ext>
          </a:extLst>
        </xdr:cNvPr>
        <xdr:cNvSpPr>
          <a:spLocks noChangeShapeType="1"/>
        </xdr:cNvSpPr>
      </xdr:nvSpPr>
      <xdr:spPr bwMode="auto">
        <a:xfrm flipV="1">
          <a:off x="2943225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29</xdr:row>
      <xdr:rowOff>0</xdr:rowOff>
    </xdr:from>
    <xdr:to>
      <xdr:col>51</xdr:col>
      <xdr:colOff>0</xdr:colOff>
      <xdr:row>30</xdr:row>
      <xdr:rowOff>28575</xdr:rowOff>
    </xdr:to>
    <xdr:sp macro="" textlink="">
      <xdr:nvSpPr>
        <xdr:cNvPr id="529" name="Arc 9">
          <a:extLst>
            <a:ext uri="{FF2B5EF4-FFF2-40B4-BE49-F238E27FC236}">
              <a16:creationId xmlns:a16="http://schemas.microsoft.com/office/drawing/2014/main" id="{F9924C5E-A11B-46FD-9FE7-F23ECDFB5DAE}"/>
            </a:ext>
          </a:extLst>
        </xdr:cNvPr>
        <xdr:cNvSpPr>
          <a:spLocks/>
        </xdr:cNvSpPr>
      </xdr:nvSpPr>
      <xdr:spPr bwMode="auto">
        <a:xfrm flipH="1">
          <a:off x="16630650" y="5124450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29</xdr:row>
      <xdr:rowOff>0</xdr:rowOff>
    </xdr:from>
    <xdr:to>
      <xdr:col>51</xdr:col>
      <xdr:colOff>0</xdr:colOff>
      <xdr:row>30</xdr:row>
      <xdr:rowOff>47625</xdr:rowOff>
    </xdr:to>
    <xdr:sp macro="" textlink="">
      <xdr:nvSpPr>
        <xdr:cNvPr id="530" name="Arc 10">
          <a:extLst>
            <a:ext uri="{FF2B5EF4-FFF2-40B4-BE49-F238E27FC236}">
              <a16:creationId xmlns:a16="http://schemas.microsoft.com/office/drawing/2014/main" id="{B5BC1D17-4FF6-43EB-900F-DF4CC8959D79}"/>
            </a:ext>
          </a:extLst>
        </xdr:cNvPr>
        <xdr:cNvSpPr>
          <a:spLocks/>
        </xdr:cNvSpPr>
      </xdr:nvSpPr>
      <xdr:spPr bwMode="auto">
        <a:xfrm>
          <a:off x="16630650" y="5124450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29</xdr:row>
      <xdr:rowOff>28575</xdr:rowOff>
    </xdr:from>
    <xdr:to>
      <xdr:col>51</xdr:col>
      <xdr:colOff>0</xdr:colOff>
      <xdr:row>30</xdr:row>
      <xdr:rowOff>85725</xdr:rowOff>
    </xdr:to>
    <xdr:sp macro="" textlink="">
      <xdr:nvSpPr>
        <xdr:cNvPr id="531" name="Arc 11">
          <a:extLst>
            <a:ext uri="{FF2B5EF4-FFF2-40B4-BE49-F238E27FC236}">
              <a16:creationId xmlns:a16="http://schemas.microsoft.com/office/drawing/2014/main" id="{8340FFBD-C5F7-467A-B243-8D337345A2F5}"/>
            </a:ext>
          </a:extLst>
        </xdr:cNvPr>
        <xdr:cNvSpPr>
          <a:spLocks/>
        </xdr:cNvSpPr>
      </xdr:nvSpPr>
      <xdr:spPr bwMode="auto">
        <a:xfrm>
          <a:off x="16630650" y="5153025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91</xdr:row>
      <xdr:rowOff>28575</xdr:rowOff>
    </xdr:from>
    <xdr:to>
      <xdr:col>51</xdr:col>
      <xdr:colOff>0</xdr:colOff>
      <xdr:row>91</xdr:row>
      <xdr:rowOff>85725</xdr:rowOff>
    </xdr:to>
    <xdr:sp macro="" textlink="">
      <xdr:nvSpPr>
        <xdr:cNvPr id="532" name="Line 12">
          <a:extLst>
            <a:ext uri="{FF2B5EF4-FFF2-40B4-BE49-F238E27FC236}">
              <a16:creationId xmlns:a16="http://schemas.microsoft.com/office/drawing/2014/main" id="{D943A8C4-2C04-47DC-8F79-4740F541030F}"/>
            </a:ext>
          </a:extLst>
        </xdr:cNvPr>
        <xdr:cNvSpPr>
          <a:spLocks noChangeShapeType="1"/>
        </xdr:cNvSpPr>
      </xdr:nvSpPr>
      <xdr:spPr bwMode="auto">
        <a:xfrm flipH="1" flipV="1">
          <a:off x="16630650" y="644842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91</xdr:row>
      <xdr:rowOff>9525</xdr:rowOff>
    </xdr:from>
    <xdr:to>
      <xdr:col>51</xdr:col>
      <xdr:colOff>0</xdr:colOff>
      <xdr:row>91</xdr:row>
      <xdr:rowOff>76200</xdr:rowOff>
    </xdr:to>
    <xdr:sp macro="" textlink="">
      <xdr:nvSpPr>
        <xdr:cNvPr id="533" name="Line 13">
          <a:extLst>
            <a:ext uri="{FF2B5EF4-FFF2-40B4-BE49-F238E27FC236}">
              <a16:creationId xmlns:a16="http://schemas.microsoft.com/office/drawing/2014/main" id="{0ABABC2F-6702-4B62-AABE-3F08719D331E}"/>
            </a:ext>
          </a:extLst>
        </xdr:cNvPr>
        <xdr:cNvSpPr>
          <a:spLocks noChangeShapeType="1"/>
        </xdr:cNvSpPr>
      </xdr:nvSpPr>
      <xdr:spPr bwMode="auto">
        <a:xfrm flipV="1">
          <a:off x="16630650" y="642937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91</xdr:row>
      <xdr:rowOff>57150</xdr:rowOff>
    </xdr:from>
    <xdr:to>
      <xdr:col>51</xdr:col>
      <xdr:colOff>0</xdr:colOff>
      <xdr:row>91</xdr:row>
      <xdr:rowOff>57150</xdr:rowOff>
    </xdr:to>
    <xdr:sp macro="" textlink="">
      <xdr:nvSpPr>
        <xdr:cNvPr id="534" name="Line 14">
          <a:extLst>
            <a:ext uri="{FF2B5EF4-FFF2-40B4-BE49-F238E27FC236}">
              <a16:creationId xmlns:a16="http://schemas.microsoft.com/office/drawing/2014/main" id="{A44B935E-E70C-455D-8DA2-2FEEC119393F}"/>
            </a:ext>
          </a:extLst>
        </xdr:cNvPr>
        <xdr:cNvSpPr>
          <a:spLocks noChangeShapeType="1"/>
        </xdr:cNvSpPr>
      </xdr:nvSpPr>
      <xdr:spPr bwMode="auto">
        <a:xfrm flipH="1">
          <a:off x="16630650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29</xdr:row>
      <xdr:rowOff>152400</xdr:rowOff>
    </xdr:from>
    <xdr:to>
      <xdr:col>51</xdr:col>
      <xdr:colOff>0</xdr:colOff>
      <xdr:row>30</xdr:row>
      <xdr:rowOff>66675</xdr:rowOff>
    </xdr:to>
    <xdr:sp macro="" textlink="">
      <xdr:nvSpPr>
        <xdr:cNvPr id="535" name="Line 15">
          <a:extLst>
            <a:ext uri="{FF2B5EF4-FFF2-40B4-BE49-F238E27FC236}">
              <a16:creationId xmlns:a16="http://schemas.microsoft.com/office/drawing/2014/main" id="{106D12E7-DFD6-4454-AEC4-CE7EB1B345B3}"/>
            </a:ext>
          </a:extLst>
        </xdr:cNvPr>
        <xdr:cNvSpPr>
          <a:spLocks noChangeShapeType="1"/>
        </xdr:cNvSpPr>
      </xdr:nvSpPr>
      <xdr:spPr bwMode="auto">
        <a:xfrm flipV="1">
          <a:off x="16630650" y="527685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0</xdr:rowOff>
    </xdr:from>
    <xdr:to>
      <xdr:col>51</xdr:col>
      <xdr:colOff>0</xdr:colOff>
      <xdr:row>31</xdr:row>
      <xdr:rowOff>28575</xdr:rowOff>
    </xdr:to>
    <xdr:sp macro="" textlink="">
      <xdr:nvSpPr>
        <xdr:cNvPr id="536" name="Arc 17">
          <a:extLst>
            <a:ext uri="{FF2B5EF4-FFF2-40B4-BE49-F238E27FC236}">
              <a16:creationId xmlns:a16="http://schemas.microsoft.com/office/drawing/2014/main" id="{E9EAC1C5-F74B-4429-893D-2B05DF029B98}"/>
            </a:ext>
          </a:extLst>
        </xdr:cNvPr>
        <xdr:cNvSpPr>
          <a:spLocks/>
        </xdr:cNvSpPr>
      </xdr:nvSpPr>
      <xdr:spPr bwMode="auto">
        <a:xfrm flipH="1">
          <a:off x="16630650" y="5286375"/>
          <a:ext cx="0" cy="19050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0</xdr:rowOff>
    </xdr:from>
    <xdr:to>
      <xdr:col>51</xdr:col>
      <xdr:colOff>0</xdr:colOff>
      <xdr:row>31</xdr:row>
      <xdr:rowOff>47625</xdr:rowOff>
    </xdr:to>
    <xdr:sp macro="" textlink="">
      <xdr:nvSpPr>
        <xdr:cNvPr id="537" name="Arc 18">
          <a:extLst>
            <a:ext uri="{FF2B5EF4-FFF2-40B4-BE49-F238E27FC236}">
              <a16:creationId xmlns:a16="http://schemas.microsoft.com/office/drawing/2014/main" id="{A02A489F-0434-48CE-AE90-BBFAB759FD4A}"/>
            </a:ext>
          </a:extLst>
        </xdr:cNvPr>
        <xdr:cNvSpPr>
          <a:spLocks/>
        </xdr:cNvSpPr>
      </xdr:nvSpPr>
      <xdr:spPr bwMode="auto">
        <a:xfrm>
          <a:off x="16630650" y="5286375"/>
          <a:ext cx="0" cy="20955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28575</xdr:rowOff>
    </xdr:from>
    <xdr:to>
      <xdr:col>51</xdr:col>
      <xdr:colOff>0</xdr:colOff>
      <xdr:row>31</xdr:row>
      <xdr:rowOff>85725</xdr:rowOff>
    </xdr:to>
    <xdr:sp macro="" textlink="">
      <xdr:nvSpPr>
        <xdr:cNvPr id="538" name="Arc 19">
          <a:extLst>
            <a:ext uri="{FF2B5EF4-FFF2-40B4-BE49-F238E27FC236}">
              <a16:creationId xmlns:a16="http://schemas.microsoft.com/office/drawing/2014/main" id="{C9E4FBFB-6941-4483-80A4-CFB61E47C410}"/>
            </a:ext>
          </a:extLst>
        </xdr:cNvPr>
        <xdr:cNvSpPr>
          <a:spLocks/>
        </xdr:cNvSpPr>
      </xdr:nvSpPr>
      <xdr:spPr bwMode="auto">
        <a:xfrm>
          <a:off x="16630650" y="5314950"/>
          <a:ext cx="0" cy="21907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28575</xdr:rowOff>
    </xdr:from>
    <xdr:to>
      <xdr:col>51</xdr:col>
      <xdr:colOff>0</xdr:colOff>
      <xdr:row>55</xdr:row>
      <xdr:rowOff>85725</xdr:rowOff>
    </xdr:to>
    <xdr:sp macro="" textlink="">
      <xdr:nvSpPr>
        <xdr:cNvPr id="539" name="Line 20">
          <a:extLst>
            <a:ext uri="{FF2B5EF4-FFF2-40B4-BE49-F238E27FC236}">
              <a16:creationId xmlns:a16="http://schemas.microsoft.com/office/drawing/2014/main" id="{8D8ED589-35C2-4071-8E02-C935A4BA746A}"/>
            </a:ext>
          </a:extLst>
        </xdr:cNvPr>
        <xdr:cNvSpPr>
          <a:spLocks noChangeShapeType="1"/>
        </xdr:cNvSpPr>
      </xdr:nvSpPr>
      <xdr:spPr bwMode="auto">
        <a:xfrm flipH="1" flipV="1">
          <a:off x="16630650" y="6610350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9525</xdr:rowOff>
    </xdr:from>
    <xdr:to>
      <xdr:col>51</xdr:col>
      <xdr:colOff>0</xdr:colOff>
      <xdr:row>55</xdr:row>
      <xdr:rowOff>76200</xdr:rowOff>
    </xdr:to>
    <xdr:sp macro="" textlink="">
      <xdr:nvSpPr>
        <xdr:cNvPr id="540" name="Line 21">
          <a:extLst>
            <a:ext uri="{FF2B5EF4-FFF2-40B4-BE49-F238E27FC236}">
              <a16:creationId xmlns:a16="http://schemas.microsoft.com/office/drawing/2014/main" id="{7962B9A1-E55A-4F19-8AC1-7CB7B76482DC}"/>
            </a:ext>
          </a:extLst>
        </xdr:cNvPr>
        <xdr:cNvSpPr>
          <a:spLocks noChangeShapeType="1"/>
        </xdr:cNvSpPr>
      </xdr:nvSpPr>
      <xdr:spPr bwMode="auto">
        <a:xfrm flipV="1">
          <a:off x="16630650" y="65913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57150</xdr:rowOff>
    </xdr:from>
    <xdr:to>
      <xdr:col>51</xdr:col>
      <xdr:colOff>0</xdr:colOff>
      <xdr:row>55</xdr:row>
      <xdr:rowOff>57150</xdr:rowOff>
    </xdr:to>
    <xdr:sp macro="" textlink="">
      <xdr:nvSpPr>
        <xdr:cNvPr id="541" name="Line 22">
          <a:extLst>
            <a:ext uri="{FF2B5EF4-FFF2-40B4-BE49-F238E27FC236}">
              <a16:creationId xmlns:a16="http://schemas.microsoft.com/office/drawing/2014/main" id="{469FED7A-183C-4395-AA09-F6F296BC0695}"/>
            </a:ext>
          </a:extLst>
        </xdr:cNvPr>
        <xdr:cNvSpPr>
          <a:spLocks noChangeShapeType="1"/>
        </xdr:cNvSpPr>
      </xdr:nvSpPr>
      <xdr:spPr bwMode="auto">
        <a:xfrm flipH="1">
          <a:off x="16630650" y="663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152400</xdr:rowOff>
    </xdr:from>
    <xdr:to>
      <xdr:col>51</xdr:col>
      <xdr:colOff>0</xdr:colOff>
      <xdr:row>31</xdr:row>
      <xdr:rowOff>66675</xdr:rowOff>
    </xdr:to>
    <xdr:sp macro="" textlink="">
      <xdr:nvSpPr>
        <xdr:cNvPr id="542" name="Line 23">
          <a:extLst>
            <a:ext uri="{FF2B5EF4-FFF2-40B4-BE49-F238E27FC236}">
              <a16:creationId xmlns:a16="http://schemas.microsoft.com/office/drawing/2014/main" id="{7B68A2AC-1F7F-4713-A8C4-9F23D458C688}"/>
            </a:ext>
          </a:extLst>
        </xdr:cNvPr>
        <xdr:cNvSpPr>
          <a:spLocks noChangeShapeType="1"/>
        </xdr:cNvSpPr>
      </xdr:nvSpPr>
      <xdr:spPr bwMode="auto">
        <a:xfrm flipV="1">
          <a:off x="16630650" y="54387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0</xdr:rowOff>
    </xdr:from>
    <xdr:to>
      <xdr:col>52</xdr:col>
      <xdr:colOff>0</xdr:colOff>
      <xdr:row>30</xdr:row>
      <xdr:rowOff>28575</xdr:rowOff>
    </xdr:to>
    <xdr:sp macro="" textlink="">
      <xdr:nvSpPr>
        <xdr:cNvPr id="2" name="Arc 9">
          <a:extLst>
            <a:ext uri="{FF2B5EF4-FFF2-40B4-BE49-F238E27FC236}">
              <a16:creationId xmlns:a16="http://schemas.microsoft.com/office/drawing/2014/main" id="{E9D0F8DD-52D0-4CF6-AC6C-898E406C4FAE}"/>
            </a:ext>
          </a:extLst>
        </xdr:cNvPr>
        <xdr:cNvSpPr>
          <a:spLocks/>
        </xdr:cNvSpPr>
      </xdr:nvSpPr>
      <xdr:spPr bwMode="auto">
        <a:xfrm flipH="1">
          <a:off x="3025140" y="528066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0</xdr:rowOff>
    </xdr:from>
    <xdr:to>
      <xdr:col>52</xdr:col>
      <xdr:colOff>0</xdr:colOff>
      <xdr:row>30</xdr:row>
      <xdr:rowOff>47625</xdr:rowOff>
    </xdr:to>
    <xdr:sp macro="" textlink="">
      <xdr:nvSpPr>
        <xdr:cNvPr id="3" name="Arc 10">
          <a:extLst>
            <a:ext uri="{FF2B5EF4-FFF2-40B4-BE49-F238E27FC236}">
              <a16:creationId xmlns:a16="http://schemas.microsoft.com/office/drawing/2014/main" id="{87A7252B-DAEF-474C-9B69-EC4F2A3F4F15}"/>
            </a:ext>
          </a:extLst>
        </xdr:cNvPr>
        <xdr:cNvSpPr>
          <a:spLocks/>
        </xdr:cNvSpPr>
      </xdr:nvSpPr>
      <xdr:spPr bwMode="auto">
        <a:xfrm>
          <a:off x="3025140" y="528066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28575</xdr:rowOff>
    </xdr:from>
    <xdr:to>
      <xdr:col>52</xdr:col>
      <xdr:colOff>0</xdr:colOff>
      <xdr:row>30</xdr:row>
      <xdr:rowOff>85725</xdr:rowOff>
    </xdr:to>
    <xdr:sp macro="" textlink="">
      <xdr:nvSpPr>
        <xdr:cNvPr id="4" name="Arc 11">
          <a:extLst>
            <a:ext uri="{FF2B5EF4-FFF2-40B4-BE49-F238E27FC236}">
              <a16:creationId xmlns:a16="http://schemas.microsoft.com/office/drawing/2014/main" id="{11D58F3D-AB67-40CC-8441-68044663C343}"/>
            </a:ext>
          </a:extLst>
        </xdr:cNvPr>
        <xdr:cNvSpPr>
          <a:spLocks/>
        </xdr:cNvSpPr>
      </xdr:nvSpPr>
      <xdr:spPr bwMode="auto">
        <a:xfrm>
          <a:off x="3025140" y="530923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69</xdr:row>
      <xdr:rowOff>28575</xdr:rowOff>
    </xdr:from>
    <xdr:to>
      <xdr:col>52</xdr:col>
      <xdr:colOff>0</xdr:colOff>
      <xdr:row>69</xdr:row>
      <xdr:rowOff>85725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73D8A424-B332-42F5-9B8A-46976D5AD216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65035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69</xdr:row>
      <xdr:rowOff>9525</xdr:rowOff>
    </xdr:from>
    <xdr:to>
      <xdr:col>52</xdr:col>
      <xdr:colOff>0</xdr:colOff>
      <xdr:row>69</xdr:row>
      <xdr:rowOff>76200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577BCD7C-17A1-4774-95BD-DDAF17B34EC2}"/>
            </a:ext>
          </a:extLst>
        </xdr:cNvPr>
        <xdr:cNvSpPr>
          <a:spLocks noChangeShapeType="1"/>
        </xdr:cNvSpPr>
      </xdr:nvSpPr>
      <xdr:spPr bwMode="auto">
        <a:xfrm flipV="1">
          <a:off x="3025140" y="663130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69</xdr:row>
      <xdr:rowOff>57150</xdr:rowOff>
    </xdr:from>
    <xdr:to>
      <xdr:col>52</xdr:col>
      <xdr:colOff>0</xdr:colOff>
      <xdr:row>69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1CF585D2-BF0B-4191-8960-47725CBD8A50}"/>
            </a:ext>
          </a:extLst>
        </xdr:cNvPr>
        <xdr:cNvSpPr>
          <a:spLocks noChangeShapeType="1"/>
        </xdr:cNvSpPr>
      </xdr:nvSpPr>
      <xdr:spPr bwMode="auto">
        <a:xfrm flipH="1">
          <a:off x="3025140" y="66789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152400</xdr:rowOff>
    </xdr:from>
    <xdr:to>
      <xdr:col>52</xdr:col>
      <xdr:colOff>0</xdr:colOff>
      <xdr:row>30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DF11C86C-8782-417A-BD60-61C74F9CA716}"/>
            </a:ext>
          </a:extLst>
        </xdr:cNvPr>
        <xdr:cNvSpPr>
          <a:spLocks noChangeShapeType="1"/>
        </xdr:cNvSpPr>
      </xdr:nvSpPr>
      <xdr:spPr bwMode="auto">
        <a:xfrm flipV="1">
          <a:off x="3025140" y="543306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0</xdr:rowOff>
    </xdr:from>
    <xdr:to>
      <xdr:col>52</xdr:col>
      <xdr:colOff>0</xdr:colOff>
      <xdr:row>31</xdr:row>
      <xdr:rowOff>28575</xdr:rowOff>
    </xdr:to>
    <xdr:sp macro="" textlink="">
      <xdr:nvSpPr>
        <xdr:cNvPr id="9" name="Arc 17">
          <a:extLst>
            <a:ext uri="{FF2B5EF4-FFF2-40B4-BE49-F238E27FC236}">
              <a16:creationId xmlns:a16="http://schemas.microsoft.com/office/drawing/2014/main" id="{47DB5CF3-0981-4564-AD55-32097060648A}"/>
            </a:ext>
          </a:extLst>
        </xdr:cNvPr>
        <xdr:cNvSpPr>
          <a:spLocks/>
        </xdr:cNvSpPr>
      </xdr:nvSpPr>
      <xdr:spPr bwMode="auto">
        <a:xfrm flipH="1">
          <a:off x="3025140" y="544830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0</xdr:rowOff>
    </xdr:from>
    <xdr:to>
      <xdr:col>52</xdr:col>
      <xdr:colOff>0</xdr:colOff>
      <xdr:row>31</xdr:row>
      <xdr:rowOff>47625</xdr:rowOff>
    </xdr:to>
    <xdr:sp macro="" textlink="">
      <xdr:nvSpPr>
        <xdr:cNvPr id="10" name="Arc 18">
          <a:extLst>
            <a:ext uri="{FF2B5EF4-FFF2-40B4-BE49-F238E27FC236}">
              <a16:creationId xmlns:a16="http://schemas.microsoft.com/office/drawing/2014/main" id="{7112A4B7-79AE-43E2-B01E-FA2559337E04}"/>
            </a:ext>
          </a:extLst>
        </xdr:cNvPr>
        <xdr:cNvSpPr>
          <a:spLocks/>
        </xdr:cNvSpPr>
      </xdr:nvSpPr>
      <xdr:spPr bwMode="auto">
        <a:xfrm>
          <a:off x="3025140" y="544830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28575</xdr:rowOff>
    </xdr:from>
    <xdr:to>
      <xdr:col>52</xdr:col>
      <xdr:colOff>0</xdr:colOff>
      <xdr:row>31</xdr:row>
      <xdr:rowOff>85725</xdr:rowOff>
    </xdr:to>
    <xdr:sp macro="" textlink="">
      <xdr:nvSpPr>
        <xdr:cNvPr id="11" name="Arc 19">
          <a:extLst>
            <a:ext uri="{FF2B5EF4-FFF2-40B4-BE49-F238E27FC236}">
              <a16:creationId xmlns:a16="http://schemas.microsoft.com/office/drawing/2014/main" id="{6DFE58E7-1D66-4047-B46D-E6810B006796}"/>
            </a:ext>
          </a:extLst>
        </xdr:cNvPr>
        <xdr:cNvSpPr>
          <a:spLocks/>
        </xdr:cNvSpPr>
      </xdr:nvSpPr>
      <xdr:spPr bwMode="auto">
        <a:xfrm>
          <a:off x="3025140" y="547687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104</xdr:row>
      <xdr:rowOff>28575</xdr:rowOff>
    </xdr:from>
    <xdr:to>
      <xdr:col>52</xdr:col>
      <xdr:colOff>0</xdr:colOff>
      <xdr:row>104</xdr:row>
      <xdr:rowOff>85725</xdr:rowOff>
    </xdr:to>
    <xdr:sp macro="" textlink="">
      <xdr:nvSpPr>
        <xdr:cNvPr id="12" name="Line 20">
          <a:extLst>
            <a:ext uri="{FF2B5EF4-FFF2-40B4-BE49-F238E27FC236}">
              <a16:creationId xmlns:a16="http://schemas.microsoft.com/office/drawing/2014/main" id="{49F57021-278D-4CE5-8311-F24BB5530B9B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81799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104</xdr:row>
      <xdr:rowOff>9525</xdr:rowOff>
    </xdr:from>
    <xdr:to>
      <xdr:col>52</xdr:col>
      <xdr:colOff>0</xdr:colOff>
      <xdr:row>104</xdr:row>
      <xdr:rowOff>76200</xdr:rowOff>
    </xdr:to>
    <xdr:sp macro="" textlink="">
      <xdr:nvSpPr>
        <xdr:cNvPr id="13" name="Line 21">
          <a:extLst>
            <a:ext uri="{FF2B5EF4-FFF2-40B4-BE49-F238E27FC236}">
              <a16:creationId xmlns:a16="http://schemas.microsoft.com/office/drawing/2014/main" id="{4FC70F73-19C7-4045-92E7-2648603C7CC3}"/>
            </a:ext>
          </a:extLst>
        </xdr:cNvPr>
        <xdr:cNvSpPr>
          <a:spLocks noChangeShapeType="1"/>
        </xdr:cNvSpPr>
      </xdr:nvSpPr>
      <xdr:spPr bwMode="auto">
        <a:xfrm flipV="1">
          <a:off x="3025140" y="679894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104</xdr:row>
      <xdr:rowOff>57150</xdr:rowOff>
    </xdr:from>
    <xdr:to>
      <xdr:col>52</xdr:col>
      <xdr:colOff>0</xdr:colOff>
      <xdr:row>104</xdr:row>
      <xdr:rowOff>57150</xdr:rowOff>
    </xdr:to>
    <xdr:sp macro="" textlink="">
      <xdr:nvSpPr>
        <xdr:cNvPr id="14" name="Line 22">
          <a:extLst>
            <a:ext uri="{FF2B5EF4-FFF2-40B4-BE49-F238E27FC236}">
              <a16:creationId xmlns:a16="http://schemas.microsoft.com/office/drawing/2014/main" id="{BADE1D96-8550-4812-96EF-ED5A66055D44}"/>
            </a:ext>
          </a:extLst>
        </xdr:cNvPr>
        <xdr:cNvSpPr>
          <a:spLocks noChangeShapeType="1"/>
        </xdr:cNvSpPr>
      </xdr:nvSpPr>
      <xdr:spPr bwMode="auto">
        <a:xfrm flipH="1">
          <a:off x="3025140" y="68465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152400</xdr:rowOff>
    </xdr:from>
    <xdr:to>
      <xdr:col>52</xdr:col>
      <xdr:colOff>0</xdr:colOff>
      <xdr:row>31</xdr:row>
      <xdr:rowOff>66675</xdr:rowOff>
    </xdr:to>
    <xdr:sp macro="" textlink="">
      <xdr:nvSpPr>
        <xdr:cNvPr id="15" name="Line 23">
          <a:extLst>
            <a:ext uri="{FF2B5EF4-FFF2-40B4-BE49-F238E27FC236}">
              <a16:creationId xmlns:a16="http://schemas.microsoft.com/office/drawing/2014/main" id="{29F93CC0-4668-4B52-9AB4-1624EF6B9BDF}"/>
            </a:ext>
          </a:extLst>
        </xdr:cNvPr>
        <xdr:cNvSpPr>
          <a:spLocks noChangeShapeType="1"/>
        </xdr:cNvSpPr>
      </xdr:nvSpPr>
      <xdr:spPr bwMode="auto">
        <a:xfrm flipV="1">
          <a:off x="3025140" y="560070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0</xdr:rowOff>
    </xdr:from>
    <xdr:to>
      <xdr:col>52</xdr:col>
      <xdr:colOff>0</xdr:colOff>
      <xdr:row>30</xdr:row>
      <xdr:rowOff>28575</xdr:rowOff>
    </xdr:to>
    <xdr:sp macro="" textlink="">
      <xdr:nvSpPr>
        <xdr:cNvPr id="16" name="Arc 9">
          <a:extLst>
            <a:ext uri="{FF2B5EF4-FFF2-40B4-BE49-F238E27FC236}">
              <a16:creationId xmlns:a16="http://schemas.microsoft.com/office/drawing/2014/main" id="{F0B3CCDA-0B02-4DF0-8BCC-C7DEA57229C9}"/>
            </a:ext>
          </a:extLst>
        </xdr:cNvPr>
        <xdr:cNvSpPr>
          <a:spLocks/>
        </xdr:cNvSpPr>
      </xdr:nvSpPr>
      <xdr:spPr bwMode="auto">
        <a:xfrm flipH="1">
          <a:off x="3025140" y="528066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0</xdr:rowOff>
    </xdr:from>
    <xdr:to>
      <xdr:col>52</xdr:col>
      <xdr:colOff>0</xdr:colOff>
      <xdr:row>30</xdr:row>
      <xdr:rowOff>47625</xdr:rowOff>
    </xdr:to>
    <xdr:sp macro="" textlink="">
      <xdr:nvSpPr>
        <xdr:cNvPr id="17" name="Arc 10">
          <a:extLst>
            <a:ext uri="{FF2B5EF4-FFF2-40B4-BE49-F238E27FC236}">
              <a16:creationId xmlns:a16="http://schemas.microsoft.com/office/drawing/2014/main" id="{68F9D8F2-6CAB-43BD-BE0B-86701250AA33}"/>
            </a:ext>
          </a:extLst>
        </xdr:cNvPr>
        <xdr:cNvSpPr>
          <a:spLocks/>
        </xdr:cNvSpPr>
      </xdr:nvSpPr>
      <xdr:spPr bwMode="auto">
        <a:xfrm>
          <a:off x="3025140" y="528066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28575</xdr:rowOff>
    </xdr:from>
    <xdr:to>
      <xdr:col>52</xdr:col>
      <xdr:colOff>0</xdr:colOff>
      <xdr:row>30</xdr:row>
      <xdr:rowOff>85725</xdr:rowOff>
    </xdr:to>
    <xdr:sp macro="" textlink="">
      <xdr:nvSpPr>
        <xdr:cNvPr id="18" name="Arc 11">
          <a:extLst>
            <a:ext uri="{FF2B5EF4-FFF2-40B4-BE49-F238E27FC236}">
              <a16:creationId xmlns:a16="http://schemas.microsoft.com/office/drawing/2014/main" id="{1F370FB4-1F29-4DCF-8B31-5E569BDBBC01}"/>
            </a:ext>
          </a:extLst>
        </xdr:cNvPr>
        <xdr:cNvSpPr>
          <a:spLocks/>
        </xdr:cNvSpPr>
      </xdr:nvSpPr>
      <xdr:spPr bwMode="auto">
        <a:xfrm>
          <a:off x="3025140" y="530923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67</xdr:row>
      <xdr:rowOff>28575</xdr:rowOff>
    </xdr:from>
    <xdr:to>
      <xdr:col>52</xdr:col>
      <xdr:colOff>0</xdr:colOff>
      <xdr:row>67</xdr:row>
      <xdr:rowOff>85725</xdr:rowOff>
    </xdr:to>
    <xdr:sp macro="" textlink="">
      <xdr:nvSpPr>
        <xdr:cNvPr id="19" name="Line 12">
          <a:extLst>
            <a:ext uri="{FF2B5EF4-FFF2-40B4-BE49-F238E27FC236}">
              <a16:creationId xmlns:a16="http://schemas.microsoft.com/office/drawing/2014/main" id="{7B2DBFB4-CF08-41D0-BEEC-ECC5F17F364D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65035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67</xdr:row>
      <xdr:rowOff>9525</xdr:rowOff>
    </xdr:from>
    <xdr:to>
      <xdr:col>52</xdr:col>
      <xdr:colOff>0</xdr:colOff>
      <xdr:row>67</xdr:row>
      <xdr:rowOff>76200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id="{CD33A5F5-661B-4075-8BF2-0BAA8F9A9D21}"/>
            </a:ext>
          </a:extLst>
        </xdr:cNvPr>
        <xdr:cNvSpPr>
          <a:spLocks noChangeShapeType="1"/>
        </xdr:cNvSpPr>
      </xdr:nvSpPr>
      <xdr:spPr bwMode="auto">
        <a:xfrm flipV="1">
          <a:off x="3025140" y="663130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67</xdr:row>
      <xdr:rowOff>57150</xdr:rowOff>
    </xdr:from>
    <xdr:to>
      <xdr:col>52</xdr:col>
      <xdr:colOff>0</xdr:colOff>
      <xdr:row>67</xdr:row>
      <xdr:rowOff>57150</xdr:rowOff>
    </xdr:to>
    <xdr:sp macro="" textlink="">
      <xdr:nvSpPr>
        <xdr:cNvPr id="21" name="Line 14">
          <a:extLst>
            <a:ext uri="{FF2B5EF4-FFF2-40B4-BE49-F238E27FC236}">
              <a16:creationId xmlns:a16="http://schemas.microsoft.com/office/drawing/2014/main" id="{D6BEAAA3-0995-4FC1-97FF-C3D8F9A5CCD5}"/>
            </a:ext>
          </a:extLst>
        </xdr:cNvPr>
        <xdr:cNvSpPr>
          <a:spLocks noChangeShapeType="1"/>
        </xdr:cNvSpPr>
      </xdr:nvSpPr>
      <xdr:spPr bwMode="auto">
        <a:xfrm flipH="1">
          <a:off x="3025140" y="66789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29</xdr:row>
      <xdr:rowOff>152400</xdr:rowOff>
    </xdr:from>
    <xdr:to>
      <xdr:col>52</xdr:col>
      <xdr:colOff>0</xdr:colOff>
      <xdr:row>30</xdr:row>
      <xdr:rowOff>66675</xdr:rowOff>
    </xdr:to>
    <xdr:sp macro="" textlink="">
      <xdr:nvSpPr>
        <xdr:cNvPr id="22" name="Line 15">
          <a:extLst>
            <a:ext uri="{FF2B5EF4-FFF2-40B4-BE49-F238E27FC236}">
              <a16:creationId xmlns:a16="http://schemas.microsoft.com/office/drawing/2014/main" id="{988D6AC0-F828-44BF-9EC4-9AD381431FA0}"/>
            </a:ext>
          </a:extLst>
        </xdr:cNvPr>
        <xdr:cNvSpPr>
          <a:spLocks noChangeShapeType="1"/>
        </xdr:cNvSpPr>
      </xdr:nvSpPr>
      <xdr:spPr bwMode="auto">
        <a:xfrm flipV="1">
          <a:off x="3025140" y="543306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0</xdr:rowOff>
    </xdr:from>
    <xdr:to>
      <xdr:col>52</xdr:col>
      <xdr:colOff>0</xdr:colOff>
      <xdr:row>31</xdr:row>
      <xdr:rowOff>28575</xdr:rowOff>
    </xdr:to>
    <xdr:sp macro="" textlink="">
      <xdr:nvSpPr>
        <xdr:cNvPr id="23" name="Arc 17">
          <a:extLst>
            <a:ext uri="{FF2B5EF4-FFF2-40B4-BE49-F238E27FC236}">
              <a16:creationId xmlns:a16="http://schemas.microsoft.com/office/drawing/2014/main" id="{D185ACC2-BAC6-4979-BFF2-F2D75C32853C}"/>
            </a:ext>
          </a:extLst>
        </xdr:cNvPr>
        <xdr:cNvSpPr>
          <a:spLocks/>
        </xdr:cNvSpPr>
      </xdr:nvSpPr>
      <xdr:spPr bwMode="auto">
        <a:xfrm flipH="1">
          <a:off x="3025140" y="544830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0</xdr:rowOff>
    </xdr:from>
    <xdr:to>
      <xdr:col>52</xdr:col>
      <xdr:colOff>0</xdr:colOff>
      <xdr:row>31</xdr:row>
      <xdr:rowOff>47625</xdr:rowOff>
    </xdr:to>
    <xdr:sp macro="" textlink="">
      <xdr:nvSpPr>
        <xdr:cNvPr id="24" name="Arc 18">
          <a:extLst>
            <a:ext uri="{FF2B5EF4-FFF2-40B4-BE49-F238E27FC236}">
              <a16:creationId xmlns:a16="http://schemas.microsoft.com/office/drawing/2014/main" id="{A0DA3BBE-E9BF-4319-84CF-E7C33E370719}"/>
            </a:ext>
          </a:extLst>
        </xdr:cNvPr>
        <xdr:cNvSpPr>
          <a:spLocks/>
        </xdr:cNvSpPr>
      </xdr:nvSpPr>
      <xdr:spPr bwMode="auto">
        <a:xfrm>
          <a:off x="3025140" y="544830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28575</xdr:rowOff>
    </xdr:from>
    <xdr:to>
      <xdr:col>52</xdr:col>
      <xdr:colOff>0</xdr:colOff>
      <xdr:row>31</xdr:row>
      <xdr:rowOff>85725</xdr:rowOff>
    </xdr:to>
    <xdr:sp macro="" textlink="">
      <xdr:nvSpPr>
        <xdr:cNvPr id="25" name="Arc 19">
          <a:extLst>
            <a:ext uri="{FF2B5EF4-FFF2-40B4-BE49-F238E27FC236}">
              <a16:creationId xmlns:a16="http://schemas.microsoft.com/office/drawing/2014/main" id="{76647621-C8B0-4F00-89C9-342CA23C9BB0}"/>
            </a:ext>
          </a:extLst>
        </xdr:cNvPr>
        <xdr:cNvSpPr>
          <a:spLocks/>
        </xdr:cNvSpPr>
      </xdr:nvSpPr>
      <xdr:spPr bwMode="auto">
        <a:xfrm>
          <a:off x="3025140" y="547687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25</xdr:row>
      <xdr:rowOff>28575</xdr:rowOff>
    </xdr:from>
    <xdr:to>
      <xdr:col>52</xdr:col>
      <xdr:colOff>0</xdr:colOff>
      <xdr:row>25</xdr:row>
      <xdr:rowOff>85725</xdr:rowOff>
    </xdr:to>
    <xdr:sp macro="" textlink="">
      <xdr:nvSpPr>
        <xdr:cNvPr id="26" name="Line 20">
          <a:extLst>
            <a:ext uri="{FF2B5EF4-FFF2-40B4-BE49-F238E27FC236}">
              <a16:creationId xmlns:a16="http://schemas.microsoft.com/office/drawing/2014/main" id="{259058F6-295D-4A3E-A155-8A1399511C31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81799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25</xdr:row>
      <xdr:rowOff>9525</xdr:rowOff>
    </xdr:from>
    <xdr:to>
      <xdr:col>52</xdr:col>
      <xdr:colOff>0</xdr:colOff>
      <xdr:row>25</xdr:row>
      <xdr:rowOff>76200</xdr:rowOff>
    </xdr:to>
    <xdr:sp macro="" textlink="">
      <xdr:nvSpPr>
        <xdr:cNvPr id="27" name="Line 21">
          <a:extLst>
            <a:ext uri="{FF2B5EF4-FFF2-40B4-BE49-F238E27FC236}">
              <a16:creationId xmlns:a16="http://schemas.microsoft.com/office/drawing/2014/main" id="{B7E9392B-0E84-45F7-96B9-E84D8B9A8485}"/>
            </a:ext>
          </a:extLst>
        </xdr:cNvPr>
        <xdr:cNvSpPr>
          <a:spLocks noChangeShapeType="1"/>
        </xdr:cNvSpPr>
      </xdr:nvSpPr>
      <xdr:spPr bwMode="auto">
        <a:xfrm flipV="1">
          <a:off x="3025140" y="679894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25</xdr:row>
      <xdr:rowOff>57150</xdr:rowOff>
    </xdr:from>
    <xdr:to>
      <xdr:col>52</xdr:col>
      <xdr:colOff>0</xdr:colOff>
      <xdr:row>25</xdr:row>
      <xdr:rowOff>57150</xdr:rowOff>
    </xdr:to>
    <xdr:sp macro="" textlink="">
      <xdr:nvSpPr>
        <xdr:cNvPr id="28" name="Line 22">
          <a:extLst>
            <a:ext uri="{FF2B5EF4-FFF2-40B4-BE49-F238E27FC236}">
              <a16:creationId xmlns:a16="http://schemas.microsoft.com/office/drawing/2014/main" id="{73BD6766-A563-4D39-BCFB-C9CE7AE6725D}"/>
            </a:ext>
          </a:extLst>
        </xdr:cNvPr>
        <xdr:cNvSpPr>
          <a:spLocks noChangeShapeType="1"/>
        </xdr:cNvSpPr>
      </xdr:nvSpPr>
      <xdr:spPr bwMode="auto">
        <a:xfrm flipH="1">
          <a:off x="3025140" y="68465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152400</xdr:rowOff>
    </xdr:from>
    <xdr:to>
      <xdr:col>52</xdr:col>
      <xdr:colOff>0</xdr:colOff>
      <xdr:row>31</xdr:row>
      <xdr:rowOff>66675</xdr:rowOff>
    </xdr:to>
    <xdr:sp macro="" textlink="">
      <xdr:nvSpPr>
        <xdr:cNvPr id="29" name="Line 23">
          <a:extLst>
            <a:ext uri="{FF2B5EF4-FFF2-40B4-BE49-F238E27FC236}">
              <a16:creationId xmlns:a16="http://schemas.microsoft.com/office/drawing/2014/main" id="{F3C1E3C0-59C2-46A8-AE1F-8B1FDF5DC16A}"/>
            </a:ext>
          </a:extLst>
        </xdr:cNvPr>
        <xdr:cNvSpPr>
          <a:spLocks noChangeShapeType="1"/>
        </xdr:cNvSpPr>
      </xdr:nvSpPr>
      <xdr:spPr bwMode="auto">
        <a:xfrm flipV="1">
          <a:off x="3025140" y="560070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0</xdr:rowOff>
    </xdr:from>
    <xdr:to>
      <xdr:col>53</xdr:col>
      <xdr:colOff>0</xdr:colOff>
      <xdr:row>30</xdr:row>
      <xdr:rowOff>28575</xdr:rowOff>
    </xdr:to>
    <xdr:sp macro="" textlink="">
      <xdr:nvSpPr>
        <xdr:cNvPr id="30" name="Arc 9">
          <a:extLst>
            <a:ext uri="{FF2B5EF4-FFF2-40B4-BE49-F238E27FC236}">
              <a16:creationId xmlns:a16="http://schemas.microsoft.com/office/drawing/2014/main" id="{0E8DE985-E05B-4267-AEB1-7B974947E429}"/>
            </a:ext>
          </a:extLst>
        </xdr:cNvPr>
        <xdr:cNvSpPr>
          <a:spLocks/>
        </xdr:cNvSpPr>
      </xdr:nvSpPr>
      <xdr:spPr bwMode="auto">
        <a:xfrm flipH="1">
          <a:off x="3025140" y="528066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0</xdr:rowOff>
    </xdr:from>
    <xdr:to>
      <xdr:col>53</xdr:col>
      <xdr:colOff>0</xdr:colOff>
      <xdr:row>30</xdr:row>
      <xdr:rowOff>47625</xdr:rowOff>
    </xdr:to>
    <xdr:sp macro="" textlink="">
      <xdr:nvSpPr>
        <xdr:cNvPr id="31" name="Arc 10">
          <a:extLst>
            <a:ext uri="{FF2B5EF4-FFF2-40B4-BE49-F238E27FC236}">
              <a16:creationId xmlns:a16="http://schemas.microsoft.com/office/drawing/2014/main" id="{1D416A43-11B0-407A-91CE-90A223E771FA}"/>
            </a:ext>
          </a:extLst>
        </xdr:cNvPr>
        <xdr:cNvSpPr>
          <a:spLocks/>
        </xdr:cNvSpPr>
      </xdr:nvSpPr>
      <xdr:spPr bwMode="auto">
        <a:xfrm>
          <a:off x="3025140" y="528066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28575</xdr:rowOff>
    </xdr:from>
    <xdr:to>
      <xdr:col>53</xdr:col>
      <xdr:colOff>0</xdr:colOff>
      <xdr:row>30</xdr:row>
      <xdr:rowOff>85725</xdr:rowOff>
    </xdr:to>
    <xdr:sp macro="" textlink="">
      <xdr:nvSpPr>
        <xdr:cNvPr id="32" name="Arc 11">
          <a:extLst>
            <a:ext uri="{FF2B5EF4-FFF2-40B4-BE49-F238E27FC236}">
              <a16:creationId xmlns:a16="http://schemas.microsoft.com/office/drawing/2014/main" id="{151A5652-1E29-4987-9BE9-9AA149D2C285}"/>
            </a:ext>
          </a:extLst>
        </xdr:cNvPr>
        <xdr:cNvSpPr>
          <a:spLocks/>
        </xdr:cNvSpPr>
      </xdr:nvSpPr>
      <xdr:spPr bwMode="auto">
        <a:xfrm>
          <a:off x="3025140" y="530923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16</xdr:row>
      <xdr:rowOff>28575</xdr:rowOff>
    </xdr:from>
    <xdr:to>
      <xdr:col>53</xdr:col>
      <xdr:colOff>0</xdr:colOff>
      <xdr:row>16</xdr:row>
      <xdr:rowOff>85725</xdr:rowOff>
    </xdr:to>
    <xdr:sp macro="" textlink="">
      <xdr:nvSpPr>
        <xdr:cNvPr id="33" name="Line 12">
          <a:extLst>
            <a:ext uri="{FF2B5EF4-FFF2-40B4-BE49-F238E27FC236}">
              <a16:creationId xmlns:a16="http://schemas.microsoft.com/office/drawing/2014/main" id="{AC6847FA-9275-4437-9F55-16049686632F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65035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16</xdr:row>
      <xdr:rowOff>9525</xdr:rowOff>
    </xdr:from>
    <xdr:to>
      <xdr:col>53</xdr:col>
      <xdr:colOff>0</xdr:colOff>
      <xdr:row>16</xdr:row>
      <xdr:rowOff>76200</xdr:rowOff>
    </xdr:to>
    <xdr:sp macro="" textlink="">
      <xdr:nvSpPr>
        <xdr:cNvPr id="34" name="Line 13">
          <a:extLst>
            <a:ext uri="{FF2B5EF4-FFF2-40B4-BE49-F238E27FC236}">
              <a16:creationId xmlns:a16="http://schemas.microsoft.com/office/drawing/2014/main" id="{3BD00E4E-B16A-4F85-B883-E1207B29BB55}"/>
            </a:ext>
          </a:extLst>
        </xdr:cNvPr>
        <xdr:cNvSpPr>
          <a:spLocks noChangeShapeType="1"/>
        </xdr:cNvSpPr>
      </xdr:nvSpPr>
      <xdr:spPr bwMode="auto">
        <a:xfrm flipV="1">
          <a:off x="3025140" y="663130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16</xdr:row>
      <xdr:rowOff>57150</xdr:rowOff>
    </xdr:from>
    <xdr:to>
      <xdr:col>53</xdr:col>
      <xdr:colOff>0</xdr:colOff>
      <xdr:row>16</xdr:row>
      <xdr:rowOff>57150</xdr:rowOff>
    </xdr:to>
    <xdr:sp macro="" textlink="">
      <xdr:nvSpPr>
        <xdr:cNvPr id="35" name="Line 14">
          <a:extLst>
            <a:ext uri="{FF2B5EF4-FFF2-40B4-BE49-F238E27FC236}">
              <a16:creationId xmlns:a16="http://schemas.microsoft.com/office/drawing/2014/main" id="{A5EB0E41-2248-4565-B67C-601C2454F83D}"/>
            </a:ext>
          </a:extLst>
        </xdr:cNvPr>
        <xdr:cNvSpPr>
          <a:spLocks noChangeShapeType="1"/>
        </xdr:cNvSpPr>
      </xdr:nvSpPr>
      <xdr:spPr bwMode="auto">
        <a:xfrm flipH="1">
          <a:off x="3025140" y="66789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152400</xdr:rowOff>
    </xdr:from>
    <xdr:to>
      <xdr:col>53</xdr:col>
      <xdr:colOff>0</xdr:colOff>
      <xdr:row>30</xdr:row>
      <xdr:rowOff>66675</xdr:rowOff>
    </xdr:to>
    <xdr:sp macro="" textlink="">
      <xdr:nvSpPr>
        <xdr:cNvPr id="36" name="Line 15">
          <a:extLst>
            <a:ext uri="{FF2B5EF4-FFF2-40B4-BE49-F238E27FC236}">
              <a16:creationId xmlns:a16="http://schemas.microsoft.com/office/drawing/2014/main" id="{1FB4F71A-A11B-4B5D-AB8F-BF3E3F1521B5}"/>
            </a:ext>
          </a:extLst>
        </xdr:cNvPr>
        <xdr:cNvSpPr>
          <a:spLocks noChangeShapeType="1"/>
        </xdr:cNvSpPr>
      </xdr:nvSpPr>
      <xdr:spPr bwMode="auto">
        <a:xfrm flipV="1">
          <a:off x="3025140" y="543306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0</xdr:rowOff>
    </xdr:from>
    <xdr:to>
      <xdr:col>53</xdr:col>
      <xdr:colOff>0</xdr:colOff>
      <xdr:row>31</xdr:row>
      <xdr:rowOff>28575</xdr:rowOff>
    </xdr:to>
    <xdr:sp macro="" textlink="">
      <xdr:nvSpPr>
        <xdr:cNvPr id="37" name="Arc 17">
          <a:extLst>
            <a:ext uri="{FF2B5EF4-FFF2-40B4-BE49-F238E27FC236}">
              <a16:creationId xmlns:a16="http://schemas.microsoft.com/office/drawing/2014/main" id="{EEFD6A30-754C-4F28-80F8-F89F210168AB}"/>
            </a:ext>
          </a:extLst>
        </xdr:cNvPr>
        <xdr:cNvSpPr>
          <a:spLocks/>
        </xdr:cNvSpPr>
      </xdr:nvSpPr>
      <xdr:spPr bwMode="auto">
        <a:xfrm flipH="1">
          <a:off x="3025140" y="5448300"/>
          <a:ext cx="0" cy="19621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0</xdr:rowOff>
    </xdr:from>
    <xdr:to>
      <xdr:col>53</xdr:col>
      <xdr:colOff>0</xdr:colOff>
      <xdr:row>31</xdr:row>
      <xdr:rowOff>47625</xdr:rowOff>
    </xdr:to>
    <xdr:sp macro="" textlink="">
      <xdr:nvSpPr>
        <xdr:cNvPr id="38" name="Arc 18">
          <a:extLst>
            <a:ext uri="{FF2B5EF4-FFF2-40B4-BE49-F238E27FC236}">
              <a16:creationId xmlns:a16="http://schemas.microsoft.com/office/drawing/2014/main" id="{2D75E787-209A-47EC-8597-0CEB19FBE194}"/>
            </a:ext>
          </a:extLst>
        </xdr:cNvPr>
        <xdr:cNvSpPr>
          <a:spLocks/>
        </xdr:cNvSpPr>
      </xdr:nvSpPr>
      <xdr:spPr bwMode="auto">
        <a:xfrm>
          <a:off x="3025140" y="5448300"/>
          <a:ext cx="0" cy="215265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28575</xdr:rowOff>
    </xdr:from>
    <xdr:to>
      <xdr:col>53</xdr:col>
      <xdr:colOff>0</xdr:colOff>
      <xdr:row>31</xdr:row>
      <xdr:rowOff>85725</xdr:rowOff>
    </xdr:to>
    <xdr:sp macro="" textlink="">
      <xdr:nvSpPr>
        <xdr:cNvPr id="39" name="Arc 19">
          <a:extLst>
            <a:ext uri="{FF2B5EF4-FFF2-40B4-BE49-F238E27FC236}">
              <a16:creationId xmlns:a16="http://schemas.microsoft.com/office/drawing/2014/main" id="{1A296632-4F30-47A6-88B3-77692B591AB1}"/>
            </a:ext>
          </a:extLst>
        </xdr:cNvPr>
        <xdr:cNvSpPr>
          <a:spLocks/>
        </xdr:cNvSpPr>
      </xdr:nvSpPr>
      <xdr:spPr bwMode="auto">
        <a:xfrm>
          <a:off x="3025140" y="5476875"/>
          <a:ext cx="0" cy="22479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39</xdr:row>
      <xdr:rowOff>28575</xdr:rowOff>
    </xdr:from>
    <xdr:to>
      <xdr:col>53</xdr:col>
      <xdr:colOff>0</xdr:colOff>
      <xdr:row>39</xdr:row>
      <xdr:rowOff>85725</xdr:rowOff>
    </xdr:to>
    <xdr:sp macro="" textlink="">
      <xdr:nvSpPr>
        <xdr:cNvPr id="40" name="Line 20">
          <a:extLst>
            <a:ext uri="{FF2B5EF4-FFF2-40B4-BE49-F238E27FC236}">
              <a16:creationId xmlns:a16="http://schemas.microsoft.com/office/drawing/2014/main" id="{9DBB076B-2B24-4C12-9921-03C60E60E966}"/>
            </a:ext>
          </a:extLst>
        </xdr:cNvPr>
        <xdr:cNvSpPr>
          <a:spLocks noChangeShapeType="1"/>
        </xdr:cNvSpPr>
      </xdr:nvSpPr>
      <xdr:spPr bwMode="auto">
        <a:xfrm flipH="1" flipV="1">
          <a:off x="3025140" y="6817995"/>
          <a:ext cx="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39</xdr:row>
      <xdr:rowOff>9525</xdr:rowOff>
    </xdr:from>
    <xdr:to>
      <xdr:col>53</xdr:col>
      <xdr:colOff>0</xdr:colOff>
      <xdr:row>39</xdr:row>
      <xdr:rowOff>76200</xdr:rowOff>
    </xdr:to>
    <xdr:sp macro="" textlink="">
      <xdr:nvSpPr>
        <xdr:cNvPr id="41" name="Line 21">
          <a:extLst>
            <a:ext uri="{FF2B5EF4-FFF2-40B4-BE49-F238E27FC236}">
              <a16:creationId xmlns:a16="http://schemas.microsoft.com/office/drawing/2014/main" id="{22761329-A1E3-4EF3-A219-A64B29AC223C}"/>
            </a:ext>
          </a:extLst>
        </xdr:cNvPr>
        <xdr:cNvSpPr>
          <a:spLocks noChangeShapeType="1"/>
        </xdr:cNvSpPr>
      </xdr:nvSpPr>
      <xdr:spPr bwMode="auto">
        <a:xfrm flipV="1">
          <a:off x="3025140" y="679894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39</xdr:row>
      <xdr:rowOff>57150</xdr:rowOff>
    </xdr:from>
    <xdr:to>
      <xdr:col>53</xdr:col>
      <xdr:colOff>0</xdr:colOff>
      <xdr:row>39</xdr:row>
      <xdr:rowOff>57150</xdr:rowOff>
    </xdr:to>
    <xdr:sp macro="" textlink="">
      <xdr:nvSpPr>
        <xdr:cNvPr id="42" name="Line 22">
          <a:extLst>
            <a:ext uri="{FF2B5EF4-FFF2-40B4-BE49-F238E27FC236}">
              <a16:creationId xmlns:a16="http://schemas.microsoft.com/office/drawing/2014/main" id="{FA2E9D04-CC01-4AC1-AD51-9AE07F8BCBE7}"/>
            </a:ext>
          </a:extLst>
        </xdr:cNvPr>
        <xdr:cNvSpPr>
          <a:spLocks noChangeShapeType="1"/>
        </xdr:cNvSpPr>
      </xdr:nvSpPr>
      <xdr:spPr bwMode="auto">
        <a:xfrm flipH="1">
          <a:off x="3025140" y="68465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152400</xdr:rowOff>
    </xdr:from>
    <xdr:to>
      <xdr:col>53</xdr:col>
      <xdr:colOff>0</xdr:colOff>
      <xdr:row>31</xdr:row>
      <xdr:rowOff>66675</xdr:rowOff>
    </xdr:to>
    <xdr:sp macro="" textlink="">
      <xdr:nvSpPr>
        <xdr:cNvPr id="43" name="Line 23">
          <a:extLst>
            <a:ext uri="{FF2B5EF4-FFF2-40B4-BE49-F238E27FC236}">
              <a16:creationId xmlns:a16="http://schemas.microsoft.com/office/drawing/2014/main" id="{06CA8378-0D28-42CD-A93C-E7E6025636C1}"/>
            </a:ext>
          </a:extLst>
        </xdr:cNvPr>
        <xdr:cNvSpPr>
          <a:spLocks noChangeShapeType="1"/>
        </xdr:cNvSpPr>
      </xdr:nvSpPr>
      <xdr:spPr bwMode="auto">
        <a:xfrm flipV="1">
          <a:off x="3025140" y="5600700"/>
          <a:ext cx="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48</xdr:row>
      <xdr:rowOff>38100</xdr:rowOff>
    </xdr:from>
    <xdr:to>
      <xdr:col>4</xdr:col>
      <xdr:colOff>0</xdr:colOff>
      <xdr:row>48</xdr:row>
      <xdr:rowOff>114300</xdr:rowOff>
    </xdr:to>
    <xdr:sp macro="" textlink="">
      <xdr:nvSpPr>
        <xdr:cNvPr id="8383" name="Line 1">
          <a:extLst>
            <a:ext uri="{FF2B5EF4-FFF2-40B4-BE49-F238E27FC236}">
              <a16:creationId xmlns:a16="http://schemas.microsoft.com/office/drawing/2014/main" id="{AC5B3136-EFC2-4EEF-B950-B3975B96EA59}"/>
            </a:ext>
          </a:extLst>
        </xdr:cNvPr>
        <xdr:cNvSpPr>
          <a:spLocks noChangeShapeType="1"/>
        </xdr:cNvSpPr>
      </xdr:nvSpPr>
      <xdr:spPr bwMode="auto">
        <a:xfrm>
          <a:off x="2305050" y="97440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48</xdr:row>
      <xdr:rowOff>28575</xdr:rowOff>
    </xdr:from>
    <xdr:to>
      <xdr:col>4</xdr:col>
      <xdr:colOff>0</xdr:colOff>
      <xdr:row>48</xdr:row>
      <xdr:rowOff>114300</xdr:rowOff>
    </xdr:to>
    <xdr:sp macro="" textlink="">
      <xdr:nvSpPr>
        <xdr:cNvPr id="8384" name="Line 2">
          <a:extLst>
            <a:ext uri="{FF2B5EF4-FFF2-40B4-BE49-F238E27FC236}">
              <a16:creationId xmlns:a16="http://schemas.microsoft.com/office/drawing/2014/main" id="{7D0327E6-A456-45A6-BDFD-3F20FD3CFB6F}"/>
            </a:ext>
          </a:extLst>
        </xdr:cNvPr>
        <xdr:cNvSpPr>
          <a:spLocks noChangeShapeType="1"/>
        </xdr:cNvSpPr>
      </xdr:nvSpPr>
      <xdr:spPr bwMode="auto">
        <a:xfrm flipV="1">
          <a:off x="2305050" y="9734550"/>
          <a:ext cx="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34</xdr:row>
      <xdr:rowOff>38100</xdr:rowOff>
    </xdr:from>
    <xdr:to>
      <xdr:col>29</xdr:col>
      <xdr:colOff>0</xdr:colOff>
      <xdr:row>34</xdr:row>
      <xdr:rowOff>114300</xdr:rowOff>
    </xdr:to>
    <xdr:sp macro="" textlink="">
      <xdr:nvSpPr>
        <xdr:cNvPr id="6480" name="Line 1">
          <a:extLst>
            <a:ext uri="{FF2B5EF4-FFF2-40B4-BE49-F238E27FC236}">
              <a16:creationId xmlns:a16="http://schemas.microsoft.com/office/drawing/2014/main" id="{4246DDB7-28CC-4BF7-A0DF-5847AF99AF02}"/>
            </a:ext>
          </a:extLst>
        </xdr:cNvPr>
        <xdr:cNvSpPr>
          <a:spLocks noChangeShapeType="1"/>
        </xdr:cNvSpPr>
      </xdr:nvSpPr>
      <xdr:spPr bwMode="auto">
        <a:xfrm>
          <a:off x="3581400" y="6591300"/>
          <a:ext cx="36195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34</xdr:row>
      <xdr:rowOff>28575</xdr:rowOff>
    </xdr:from>
    <xdr:to>
      <xdr:col>30</xdr:col>
      <xdr:colOff>0</xdr:colOff>
      <xdr:row>34</xdr:row>
      <xdr:rowOff>114300</xdr:rowOff>
    </xdr:to>
    <xdr:sp macro="" textlink="">
      <xdr:nvSpPr>
        <xdr:cNvPr id="6481" name="Line 2">
          <a:extLst>
            <a:ext uri="{FF2B5EF4-FFF2-40B4-BE49-F238E27FC236}">
              <a16:creationId xmlns:a16="http://schemas.microsoft.com/office/drawing/2014/main" id="{26BCC408-E25E-4311-8CA4-3D5AEA311DF8}"/>
            </a:ext>
          </a:extLst>
        </xdr:cNvPr>
        <xdr:cNvSpPr>
          <a:spLocks noChangeShapeType="1"/>
        </xdr:cNvSpPr>
      </xdr:nvSpPr>
      <xdr:spPr bwMode="auto">
        <a:xfrm flipV="1">
          <a:off x="3943350" y="6581775"/>
          <a:ext cx="36195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34</xdr:row>
      <xdr:rowOff>38100</xdr:rowOff>
    </xdr:from>
    <xdr:to>
      <xdr:col>31</xdr:col>
      <xdr:colOff>0</xdr:colOff>
      <xdr:row>34</xdr:row>
      <xdr:rowOff>114300</xdr:rowOff>
    </xdr:to>
    <xdr:sp macro="" textlink="">
      <xdr:nvSpPr>
        <xdr:cNvPr id="6482" name="Line 3">
          <a:extLst>
            <a:ext uri="{FF2B5EF4-FFF2-40B4-BE49-F238E27FC236}">
              <a16:creationId xmlns:a16="http://schemas.microsoft.com/office/drawing/2014/main" id="{7379DCCF-1CE1-420B-B882-0CD8794C3AEF}"/>
            </a:ext>
          </a:extLst>
        </xdr:cNvPr>
        <xdr:cNvSpPr>
          <a:spLocks noChangeShapeType="1"/>
        </xdr:cNvSpPr>
      </xdr:nvSpPr>
      <xdr:spPr bwMode="auto">
        <a:xfrm>
          <a:off x="4305300" y="6591300"/>
          <a:ext cx="36195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34</xdr:row>
      <xdr:rowOff>28575</xdr:rowOff>
    </xdr:from>
    <xdr:to>
      <xdr:col>32</xdr:col>
      <xdr:colOff>0</xdr:colOff>
      <xdr:row>34</xdr:row>
      <xdr:rowOff>114300</xdr:rowOff>
    </xdr:to>
    <xdr:sp macro="" textlink="">
      <xdr:nvSpPr>
        <xdr:cNvPr id="6483" name="Line 4">
          <a:extLst>
            <a:ext uri="{FF2B5EF4-FFF2-40B4-BE49-F238E27FC236}">
              <a16:creationId xmlns:a16="http://schemas.microsoft.com/office/drawing/2014/main" id="{7CCDCB33-EF15-49FE-881D-CE4B6579A569}"/>
            </a:ext>
          </a:extLst>
        </xdr:cNvPr>
        <xdr:cNvSpPr>
          <a:spLocks noChangeShapeType="1"/>
        </xdr:cNvSpPr>
      </xdr:nvSpPr>
      <xdr:spPr bwMode="auto">
        <a:xfrm flipV="1">
          <a:off x="4667250" y="6581775"/>
          <a:ext cx="36195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95250</xdr:rowOff>
    </xdr:from>
    <xdr:to>
      <xdr:col>31</xdr:col>
      <xdr:colOff>276225</xdr:colOff>
      <xdr:row>33</xdr:row>
      <xdr:rowOff>171450</xdr:rowOff>
    </xdr:to>
    <xdr:sp macro="" textlink="">
      <xdr:nvSpPr>
        <xdr:cNvPr id="6484" name="Line 5">
          <a:extLst>
            <a:ext uri="{FF2B5EF4-FFF2-40B4-BE49-F238E27FC236}">
              <a16:creationId xmlns:a16="http://schemas.microsoft.com/office/drawing/2014/main" id="{7B67C772-DA31-43C0-94AF-81B2F21DC5B8}"/>
            </a:ext>
          </a:extLst>
        </xdr:cNvPr>
        <xdr:cNvSpPr>
          <a:spLocks noChangeShapeType="1"/>
        </xdr:cNvSpPr>
      </xdr:nvSpPr>
      <xdr:spPr bwMode="auto">
        <a:xfrm flipH="1">
          <a:off x="57150" y="95250"/>
          <a:ext cx="4886325" cy="6438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2"/>
  <sheetViews>
    <sheetView workbookViewId="0">
      <selection activeCell="B10" sqref="B10"/>
    </sheetView>
  </sheetViews>
  <sheetFormatPr baseColWidth="10" defaultRowHeight="13.2" x14ac:dyDescent="0.25"/>
  <sheetData>
    <row r="2" spans="1:1" x14ac:dyDescent="0.25">
      <c r="A2" t="s">
        <v>200</v>
      </c>
    </row>
    <row r="4" spans="1:1" x14ac:dyDescent="0.25">
      <c r="A4" t="s">
        <v>197</v>
      </c>
    </row>
    <row r="6" spans="1:1" x14ac:dyDescent="0.25">
      <c r="A6" t="s">
        <v>199</v>
      </c>
    </row>
    <row r="8" spans="1:1" x14ac:dyDescent="0.25">
      <c r="A8" t="s">
        <v>198</v>
      </c>
    </row>
    <row r="10" spans="1:1" x14ac:dyDescent="0.25">
      <c r="A10" t="s">
        <v>204</v>
      </c>
    </row>
    <row r="12" spans="1:1" x14ac:dyDescent="0.25">
      <c r="A12" t="s">
        <v>205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P59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Z20" sqref="AZ20"/>
    </sheetView>
  </sheetViews>
  <sheetFormatPr baseColWidth="10" defaultRowHeight="13.2" outlineLevelCol="1" x14ac:dyDescent="0.25"/>
  <cols>
    <col min="1" max="1" width="4.109375" style="1" customWidth="1"/>
    <col min="2" max="2" width="11.44140625" style="2" customWidth="1"/>
    <col min="3" max="3" width="10.109375" style="2" customWidth="1"/>
    <col min="4" max="4" width="4.44140625" style="3" customWidth="1"/>
    <col min="5" max="5" width="5" style="3" hidden="1" customWidth="1" outlineLevel="1"/>
    <col min="6" max="17" width="4.44140625" style="3" hidden="1" customWidth="1" outlineLevel="1"/>
    <col min="18" max="23" width="4.44140625" style="3" hidden="1" customWidth="1" outlineLevel="1" collapsed="1"/>
    <col min="24" max="24" width="4.44140625" style="101" hidden="1" customWidth="1" outlineLevel="1"/>
    <col min="25" max="27" width="4.44140625" style="3" hidden="1" customWidth="1" outlineLevel="1"/>
    <col min="28" max="28" width="4.44140625" style="3" hidden="1" customWidth="1" outlineLevel="1" collapsed="1"/>
    <col min="29" max="29" width="4.44140625" style="3" hidden="1" customWidth="1" outlineLevel="1"/>
    <col min="30" max="37" width="4.44140625" style="101" hidden="1" customWidth="1" outlineLevel="1"/>
    <col min="38" max="45" width="4.5546875" style="101" hidden="1" customWidth="1" outlineLevel="1"/>
    <col min="46" max="50" width="6.5546875" style="101" hidden="1" customWidth="1" outlineLevel="1"/>
    <col min="51" max="51" width="7.44140625" style="3" bestFit="1" customWidth="1" collapsed="1"/>
    <col min="52" max="52" width="6.5546875" style="101" customWidth="1"/>
    <col min="53" max="58" width="4.44140625" style="3" hidden="1" customWidth="1" outlineLevel="1"/>
    <col min="59" max="61" width="4.44140625" style="3" hidden="1" customWidth="1" outlineLevel="1" collapsed="1"/>
    <col min="62" max="63" width="4.44140625" style="3" hidden="1" customWidth="1" outlineLevel="1"/>
    <col min="64" max="64" width="4.44140625" style="3" hidden="1" customWidth="1" outlineLevel="1" collapsed="1"/>
    <col min="65" max="69" width="4.44140625" style="3" hidden="1" customWidth="1" outlineLevel="1"/>
    <col min="70" max="79" width="6.5546875" style="3" hidden="1" customWidth="1" outlineLevel="1"/>
    <col min="80" max="80" width="6.5546875" style="3" customWidth="1" collapsed="1"/>
    <col min="81" max="81" width="6.5546875" style="3" customWidth="1"/>
    <col min="82" max="82" width="6.5546875" style="3" hidden="1" customWidth="1" outlineLevel="1"/>
    <col min="83" max="83" width="6.5546875" hidden="1" customWidth="1" outlineLevel="1"/>
    <col min="84" max="84" width="6.5546875" style="2" customWidth="1" collapsed="1"/>
    <col min="85" max="85" width="6.5546875" customWidth="1"/>
    <col min="86" max="86" width="4.109375" style="3" customWidth="1"/>
    <col min="87" max="87" width="11.44140625" style="3" customWidth="1"/>
    <col min="88" max="88" width="10.109375" style="3" customWidth="1"/>
    <col min="89" max="89" width="4.5546875" style="3" customWidth="1"/>
    <col min="90" max="90" width="5.5546875" style="3" hidden="1" customWidth="1" outlineLevel="1"/>
    <col min="91" max="91" width="5" style="3" hidden="1" customWidth="1" outlineLevel="1"/>
    <col min="92" max="98" width="4.44140625" style="102" hidden="1" customWidth="1" outlineLevel="1"/>
    <col min="99" max="102" width="4.44140625" style="3" hidden="1" customWidth="1" outlineLevel="1"/>
    <col min="103" max="108" width="4.5546875" style="3" hidden="1" customWidth="1" outlineLevel="1"/>
    <col min="109" max="109" width="5.5546875" style="3" hidden="1" customWidth="1" outlineLevel="1"/>
    <col min="110" max="110" width="4.44140625" style="102" hidden="1" customWidth="1" outlineLevel="1"/>
    <col min="111" max="111" width="4.44140625" style="3" hidden="1" customWidth="1" outlineLevel="1"/>
    <col min="112" max="112" width="6.33203125" style="3" hidden="1" customWidth="1" outlineLevel="1"/>
    <col min="113" max="113" width="5.6640625" hidden="1" customWidth="1" outlineLevel="1"/>
    <col min="114" max="117" width="5.5546875" hidden="1" customWidth="1" outlineLevel="1"/>
    <col min="118" max="118" width="5.5546875" hidden="1" customWidth="1" outlineLevel="1" collapsed="1"/>
    <col min="119" max="120" width="5.5546875" hidden="1" customWidth="1" outlineLevel="1"/>
    <col min="121" max="121" width="5.5546875" hidden="1" customWidth="1" outlineLevel="1" collapsed="1"/>
    <col min="122" max="130" width="5.5546875" hidden="1" customWidth="1" outlineLevel="1"/>
    <col min="131" max="131" width="7.44140625" hidden="1" customWidth="1" outlineLevel="1"/>
    <col min="132" max="132" width="7.44140625" hidden="1" customWidth="1" outlineLevel="1" collapsed="1"/>
    <col min="133" max="133" width="7.44140625" hidden="1" customWidth="1" outlineLevel="1"/>
    <col min="134" max="134" width="7.44140625" hidden="1" customWidth="1" outlineLevel="1" collapsed="1"/>
    <col min="135" max="135" width="7.44140625" hidden="1" customWidth="1" outlineLevel="1"/>
    <col min="136" max="136" width="7.44140625" bestFit="1" customWidth="1" collapsed="1"/>
    <col min="137" max="137" width="7.44140625" bestFit="1" customWidth="1"/>
    <col min="138" max="152" width="6.5546875" hidden="1" customWidth="1" outlineLevel="1"/>
    <col min="153" max="153" width="6.5546875" style="219" hidden="1" customWidth="1" outlineLevel="1" collapsed="1"/>
    <col min="154" max="154" width="6.5546875" style="219" hidden="1" customWidth="1" outlineLevel="1"/>
    <col min="155" max="157" width="6.5546875" hidden="1" customWidth="1" outlineLevel="1" collapsed="1"/>
    <col min="158" max="160" width="6.5546875" hidden="1" customWidth="1" outlineLevel="1"/>
    <col min="161" max="161" width="6.5546875" hidden="1" customWidth="1" outlineLevel="1" collapsed="1"/>
    <col min="162" max="164" width="6.5546875" hidden="1" customWidth="1" outlineLevel="1"/>
    <col min="165" max="165" width="6.5546875" customWidth="1" collapsed="1"/>
    <col min="166" max="166" width="6.5546875" customWidth="1"/>
    <col min="167" max="168" width="6.5546875" hidden="1" customWidth="1" outlineLevel="1"/>
    <col min="169" max="169" width="6.5546875" customWidth="1" collapsed="1"/>
    <col min="170" max="170" width="6.5546875" customWidth="1"/>
  </cols>
  <sheetData>
    <row r="1" spans="1:172" ht="13.8" thickBot="1" x14ac:dyDescent="0.3">
      <c r="X1" s="3"/>
      <c r="Y1" s="101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Z1" s="3"/>
      <c r="BB1" s="101"/>
      <c r="CE1" s="3"/>
      <c r="CF1" s="3"/>
      <c r="CG1" s="3"/>
      <c r="CH1" s="1"/>
      <c r="CI1" s="2"/>
      <c r="CJ1" s="2"/>
      <c r="CN1" s="3"/>
      <c r="CO1" s="3"/>
      <c r="CP1" s="3"/>
      <c r="CQ1" s="3"/>
      <c r="CR1" s="3"/>
      <c r="CS1" s="3"/>
      <c r="CT1" s="3"/>
      <c r="DF1" s="101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101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217"/>
      <c r="EX1" s="217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</row>
    <row r="2" spans="1:172" ht="13.8" thickBot="1" x14ac:dyDescent="0.3">
      <c r="D2" s="142"/>
      <c r="E2" s="2"/>
      <c r="F2" s="34">
        <v>97</v>
      </c>
      <c r="G2" s="34">
        <v>98</v>
      </c>
      <c r="H2" s="34">
        <v>99</v>
      </c>
      <c r="I2" s="127">
        <v>0</v>
      </c>
      <c r="J2" s="127">
        <v>1</v>
      </c>
      <c r="K2" s="127">
        <v>2</v>
      </c>
      <c r="L2" s="127">
        <v>3</v>
      </c>
      <c r="M2" s="127">
        <v>4</v>
      </c>
      <c r="N2" s="127">
        <v>5</v>
      </c>
      <c r="O2" s="127">
        <v>6</v>
      </c>
      <c r="P2" s="127">
        <v>7</v>
      </c>
      <c r="Q2" s="127">
        <v>8</v>
      </c>
      <c r="R2" s="127">
        <v>9</v>
      </c>
      <c r="S2" s="127">
        <v>10</v>
      </c>
      <c r="T2" s="127">
        <v>11</v>
      </c>
      <c r="U2" s="127">
        <v>12</v>
      </c>
      <c r="V2" s="127">
        <v>13</v>
      </c>
      <c r="W2" s="127">
        <v>14</v>
      </c>
      <c r="X2" s="243" t="s">
        <v>0</v>
      </c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7"/>
      <c r="BA2" s="243" t="s">
        <v>1</v>
      </c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 t="s">
        <v>1</v>
      </c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7"/>
      <c r="CD2" s="5" t="s">
        <v>2</v>
      </c>
      <c r="CE2" s="5"/>
      <c r="CF2" s="6" t="s">
        <v>0</v>
      </c>
      <c r="CG2" s="6" t="s">
        <v>1</v>
      </c>
      <c r="CH2" s="1"/>
      <c r="CI2" s="2"/>
      <c r="CJ2" s="2"/>
      <c r="CK2" s="142"/>
      <c r="CL2" s="2"/>
      <c r="CM2" s="34">
        <v>97</v>
      </c>
      <c r="CN2" s="34">
        <v>98</v>
      </c>
      <c r="CO2" s="34">
        <v>99</v>
      </c>
      <c r="CP2" s="127">
        <v>0</v>
      </c>
      <c r="CQ2" s="127">
        <v>1</v>
      </c>
      <c r="CR2" s="127">
        <v>2</v>
      </c>
      <c r="CS2" s="127">
        <v>3</v>
      </c>
      <c r="CT2" s="127">
        <v>4</v>
      </c>
      <c r="CU2" s="127">
        <v>5</v>
      </c>
      <c r="CV2" s="127">
        <v>6</v>
      </c>
      <c r="CW2" s="127">
        <v>7</v>
      </c>
      <c r="CX2" s="127">
        <v>8</v>
      </c>
      <c r="CY2" s="127">
        <v>9</v>
      </c>
      <c r="CZ2" s="216">
        <v>10</v>
      </c>
      <c r="DA2" s="216">
        <v>11</v>
      </c>
      <c r="DB2" s="216">
        <v>12</v>
      </c>
      <c r="DC2" s="216">
        <v>13</v>
      </c>
      <c r="DD2" s="216">
        <v>14</v>
      </c>
      <c r="DE2" s="243" t="s">
        <v>0</v>
      </c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5"/>
      <c r="EH2" s="243" t="s">
        <v>1</v>
      </c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5"/>
      <c r="FK2" s="5" t="s">
        <v>2</v>
      </c>
      <c r="FL2" s="5"/>
      <c r="FM2" s="6" t="s">
        <v>0</v>
      </c>
      <c r="FN2" s="6" t="s">
        <v>1</v>
      </c>
    </row>
    <row r="3" spans="1:172" ht="45" customHeight="1" x14ac:dyDescent="0.25">
      <c r="A3" s="8" t="s">
        <v>3</v>
      </c>
      <c r="B3" s="9"/>
      <c r="C3" s="9"/>
      <c r="D3" s="36" t="s">
        <v>4</v>
      </c>
      <c r="E3" s="39">
        <v>1995</v>
      </c>
      <c r="F3" s="36" t="s">
        <v>4</v>
      </c>
      <c r="G3" s="36" t="s">
        <v>4</v>
      </c>
      <c r="H3" s="36" t="s">
        <v>4</v>
      </c>
      <c r="I3" s="36" t="s">
        <v>4</v>
      </c>
      <c r="J3" s="36" t="s">
        <v>4</v>
      </c>
      <c r="K3" s="36" t="s">
        <v>4</v>
      </c>
      <c r="L3" s="36" t="s">
        <v>4</v>
      </c>
      <c r="M3" s="36" t="s">
        <v>4</v>
      </c>
      <c r="N3" s="36" t="s">
        <v>4</v>
      </c>
      <c r="O3" s="36" t="s">
        <v>4</v>
      </c>
      <c r="P3" s="36" t="s">
        <v>4</v>
      </c>
      <c r="Q3" s="36" t="s">
        <v>4</v>
      </c>
      <c r="R3" s="36" t="s">
        <v>4</v>
      </c>
      <c r="S3" s="36" t="s">
        <v>4</v>
      </c>
      <c r="T3" s="36" t="s">
        <v>4</v>
      </c>
      <c r="U3" s="36" t="s">
        <v>4</v>
      </c>
      <c r="V3" s="36" t="s">
        <v>4</v>
      </c>
      <c r="W3" s="36" t="s">
        <v>4</v>
      </c>
      <c r="X3" s="39">
        <v>1996</v>
      </c>
      <c r="Y3" s="39">
        <v>1997</v>
      </c>
      <c r="Z3" s="39">
        <v>1998</v>
      </c>
      <c r="AA3" s="39">
        <v>1999</v>
      </c>
      <c r="AB3" s="39">
        <v>2000</v>
      </c>
      <c r="AC3" s="39">
        <v>2001</v>
      </c>
      <c r="AD3" s="39">
        <v>2002</v>
      </c>
      <c r="AE3" s="39">
        <v>2003</v>
      </c>
      <c r="AF3" s="39">
        <v>2004</v>
      </c>
      <c r="AG3" s="39">
        <v>2005</v>
      </c>
      <c r="AH3" s="39">
        <v>2006</v>
      </c>
      <c r="AI3" s="39">
        <v>2007</v>
      </c>
      <c r="AJ3" s="39">
        <v>2008</v>
      </c>
      <c r="AK3" s="39">
        <v>2009</v>
      </c>
      <c r="AL3" s="39">
        <v>2010</v>
      </c>
      <c r="AM3" s="39">
        <v>2011</v>
      </c>
      <c r="AN3" s="39">
        <v>2012</v>
      </c>
      <c r="AO3" s="39">
        <v>2013</v>
      </c>
      <c r="AP3" s="39">
        <v>2014</v>
      </c>
      <c r="AQ3" s="39">
        <v>2015</v>
      </c>
      <c r="AR3" s="39">
        <v>2016</v>
      </c>
      <c r="AS3" s="39">
        <v>2017</v>
      </c>
      <c r="AT3" s="39">
        <v>2018</v>
      </c>
      <c r="AU3" s="39">
        <v>2019</v>
      </c>
      <c r="AV3" s="39">
        <v>2020</v>
      </c>
      <c r="AW3" s="39">
        <v>2021</v>
      </c>
      <c r="AX3" s="39">
        <v>2022</v>
      </c>
      <c r="AY3" s="39">
        <v>2022</v>
      </c>
      <c r="AZ3" s="39">
        <v>2023</v>
      </c>
      <c r="BA3" s="39">
        <v>1996</v>
      </c>
      <c r="BB3" s="39">
        <v>1997</v>
      </c>
      <c r="BC3" s="39">
        <v>1998</v>
      </c>
      <c r="BD3" s="39">
        <v>1999</v>
      </c>
      <c r="BE3" s="39">
        <v>2000</v>
      </c>
      <c r="BF3" s="39">
        <v>2001</v>
      </c>
      <c r="BG3" s="39">
        <v>2002</v>
      </c>
      <c r="BH3" s="39">
        <v>2003</v>
      </c>
      <c r="BI3" s="39">
        <v>2004</v>
      </c>
      <c r="BJ3" s="39">
        <v>2005</v>
      </c>
      <c r="BK3" s="39">
        <v>2006</v>
      </c>
      <c r="BL3" s="39">
        <v>2007</v>
      </c>
      <c r="BM3" s="39">
        <v>2008</v>
      </c>
      <c r="BN3" s="39">
        <v>2009</v>
      </c>
      <c r="BO3" s="39">
        <v>2010</v>
      </c>
      <c r="BP3" s="39">
        <v>2011</v>
      </c>
      <c r="BQ3" s="39">
        <v>2012</v>
      </c>
      <c r="BR3" s="39">
        <v>2013</v>
      </c>
      <c r="BS3" s="39">
        <v>2014</v>
      </c>
      <c r="BT3" s="39">
        <v>2015</v>
      </c>
      <c r="BU3" s="39">
        <v>2016</v>
      </c>
      <c r="BV3" s="39">
        <v>2017</v>
      </c>
      <c r="BW3" s="39">
        <v>2018</v>
      </c>
      <c r="BX3" s="39">
        <v>2019</v>
      </c>
      <c r="BY3" s="39">
        <v>2020</v>
      </c>
      <c r="BZ3" s="39">
        <v>2021</v>
      </c>
      <c r="CA3" s="39">
        <v>2022</v>
      </c>
      <c r="CB3" s="39">
        <v>2022</v>
      </c>
      <c r="CC3" s="39">
        <v>2023</v>
      </c>
      <c r="CD3" s="39">
        <v>2022</v>
      </c>
      <c r="CE3" s="39">
        <v>2023</v>
      </c>
      <c r="CF3" s="95" t="s">
        <v>2</v>
      </c>
      <c r="CG3" s="96"/>
      <c r="CH3" s="128" t="s">
        <v>3</v>
      </c>
      <c r="CI3" s="9"/>
      <c r="CJ3" s="9"/>
      <c r="CK3" s="36" t="s">
        <v>4</v>
      </c>
      <c r="CL3" s="39">
        <v>1995</v>
      </c>
      <c r="CM3" s="36" t="s">
        <v>4</v>
      </c>
      <c r="CN3" s="36" t="s">
        <v>4</v>
      </c>
      <c r="CO3" s="36" t="s">
        <v>4</v>
      </c>
      <c r="CP3" s="36" t="s">
        <v>4</v>
      </c>
      <c r="CQ3" s="36" t="s">
        <v>4</v>
      </c>
      <c r="CR3" s="36" t="s">
        <v>4</v>
      </c>
      <c r="CS3" s="36" t="s">
        <v>4</v>
      </c>
      <c r="CT3" s="36" t="s">
        <v>4</v>
      </c>
      <c r="CU3" s="36" t="s">
        <v>4</v>
      </c>
      <c r="CV3" s="36" t="s">
        <v>4</v>
      </c>
      <c r="CW3" s="36" t="s">
        <v>4</v>
      </c>
      <c r="CX3" s="36" t="s">
        <v>4</v>
      </c>
      <c r="CY3" s="36" t="s">
        <v>4</v>
      </c>
      <c r="CZ3" s="36" t="s">
        <v>4</v>
      </c>
      <c r="DA3" s="36" t="s">
        <v>4</v>
      </c>
      <c r="DB3" s="36" t="s">
        <v>4</v>
      </c>
      <c r="DC3" s="36" t="s">
        <v>4</v>
      </c>
      <c r="DD3" s="36" t="s">
        <v>4</v>
      </c>
      <c r="DE3" s="39">
        <v>1996</v>
      </c>
      <c r="DF3" s="39">
        <v>1997</v>
      </c>
      <c r="DG3" s="39">
        <v>1998</v>
      </c>
      <c r="DH3" s="39">
        <v>1999</v>
      </c>
      <c r="DI3" s="39">
        <v>2000</v>
      </c>
      <c r="DJ3" s="39">
        <v>2001</v>
      </c>
      <c r="DK3" s="39">
        <v>2002</v>
      </c>
      <c r="DL3" s="39">
        <v>2003</v>
      </c>
      <c r="DM3" s="39">
        <v>2004</v>
      </c>
      <c r="DN3" s="39">
        <v>2005</v>
      </c>
      <c r="DO3" s="39">
        <v>2006</v>
      </c>
      <c r="DP3" s="39">
        <v>2007</v>
      </c>
      <c r="DQ3" s="39">
        <v>2008</v>
      </c>
      <c r="DR3" s="39">
        <v>2009</v>
      </c>
      <c r="DS3" s="39">
        <v>2010</v>
      </c>
      <c r="DT3" s="39">
        <v>2011</v>
      </c>
      <c r="DU3" s="39">
        <v>2012</v>
      </c>
      <c r="DV3" s="39">
        <v>2013</v>
      </c>
      <c r="DW3" s="39">
        <v>2014</v>
      </c>
      <c r="DX3" s="39">
        <v>2015</v>
      </c>
      <c r="DY3" s="39">
        <v>2016</v>
      </c>
      <c r="DZ3" s="39">
        <v>2017</v>
      </c>
      <c r="EA3" s="39">
        <v>2018</v>
      </c>
      <c r="EB3" s="39">
        <v>2019</v>
      </c>
      <c r="EC3" s="39">
        <v>2020</v>
      </c>
      <c r="ED3" s="39">
        <v>2021</v>
      </c>
      <c r="EE3" s="39">
        <v>2022</v>
      </c>
      <c r="EF3" s="39">
        <v>2022</v>
      </c>
      <c r="EG3" s="39">
        <v>2023</v>
      </c>
      <c r="EH3" s="39">
        <v>1996</v>
      </c>
      <c r="EI3" s="39">
        <v>1997</v>
      </c>
      <c r="EJ3" s="39">
        <v>1998</v>
      </c>
      <c r="EK3" s="39">
        <v>1999</v>
      </c>
      <c r="EL3" s="39">
        <v>2000</v>
      </c>
      <c r="EM3" s="39">
        <v>2001</v>
      </c>
      <c r="EN3" s="39">
        <v>2002</v>
      </c>
      <c r="EO3" s="39">
        <v>2003</v>
      </c>
      <c r="EP3" s="39">
        <v>2004</v>
      </c>
      <c r="EQ3" s="39">
        <v>2005</v>
      </c>
      <c r="ER3" s="39">
        <v>2006</v>
      </c>
      <c r="ES3" s="39">
        <v>2007</v>
      </c>
      <c r="ET3" s="39">
        <v>2008</v>
      </c>
      <c r="EU3" s="39">
        <v>2009</v>
      </c>
      <c r="EV3" s="39">
        <v>2010</v>
      </c>
      <c r="EW3" s="39">
        <v>2011</v>
      </c>
      <c r="EX3" s="39">
        <v>2012</v>
      </c>
      <c r="EY3" s="39">
        <v>2013</v>
      </c>
      <c r="EZ3" s="39">
        <v>2014</v>
      </c>
      <c r="FA3" s="39">
        <v>2015</v>
      </c>
      <c r="FB3" s="39">
        <v>2016</v>
      </c>
      <c r="FC3" s="39">
        <v>2017</v>
      </c>
      <c r="FD3" s="39">
        <v>2018</v>
      </c>
      <c r="FE3" s="39">
        <v>2019</v>
      </c>
      <c r="FF3" s="39">
        <v>2020</v>
      </c>
      <c r="FG3" s="39">
        <v>2021</v>
      </c>
      <c r="FH3" s="39">
        <v>2022</v>
      </c>
      <c r="FI3" s="39">
        <v>2022</v>
      </c>
      <c r="FJ3" s="39">
        <v>2023</v>
      </c>
      <c r="FK3" s="39">
        <v>2022</v>
      </c>
      <c r="FL3" s="39">
        <v>2023</v>
      </c>
      <c r="FM3" s="95" t="s">
        <v>2</v>
      </c>
      <c r="FN3" s="96"/>
    </row>
    <row r="4" spans="1:172" x14ac:dyDescent="0.25">
      <c r="A4" s="10">
        <v>1</v>
      </c>
      <c r="B4" s="11" t="s">
        <v>5</v>
      </c>
      <c r="C4" s="12"/>
      <c r="D4" s="182"/>
      <c r="E4" s="152">
        <v>47</v>
      </c>
      <c r="F4" s="152"/>
      <c r="G4" s="151"/>
      <c r="H4" s="151"/>
      <c r="I4" s="151"/>
      <c r="J4" s="151"/>
      <c r="K4" s="151">
        <v>-1</v>
      </c>
      <c r="L4" s="151"/>
      <c r="M4" s="151"/>
      <c r="N4" s="151"/>
      <c r="O4" s="151">
        <v>-1</v>
      </c>
      <c r="P4" s="151"/>
      <c r="Q4" s="182"/>
      <c r="R4" s="182">
        <v>-5</v>
      </c>
      <c r="S4" s="182"/>
      <c r="T4" s="182"/>
      <c r="U4" s="182">
        <v>-3</v>
      </c>
      <c r="V4" s="182"/>
      <c r="W4" s="182"/>
      <c r="X4" s="153">
        <v>43</v>
      </c>
      <c r="Y4" s="153">
        <v>2</v>
      </c>
      <c r="Z4" s="141"/>
      <c r="AA4" s="141">
        <v>29</v>
      </c>
      <c r="AB4" s="141">
        <v>30</v>
      </c>
      <c r="AC4" s="141">
        <v>8</v>
      </c>
      <c r="AD4" s="141">
        <v>18</v>
      </c>
      <c r="AE4" s="141">
        <v>5</v>
      </c>
      <c r="AF4" s="141">
        <v>3</v>
      </c>
      <c r="AG4" s="141">
        <v>2</v>
      </c>
      <c r="AH4" s="184">
        <v>10</v>
      </c>
      <c r="AI4" s="184">
        <v>7</v>
      </c>
      <c r="AJ4" s="184">
        <v>8</v>
      </c>
      <c r="AK4" s="184">
        <v>124</v>
      </c>
      <c r="AL4" s="184">
        <v>2</v>
      </c>
      <c r="AM4" s="184">
        <v>10</v>
      </c>
      <c r="AN4" s="184">
        <v>4</v>
      </c>
      <c r="AO4" s="184">
        <v>7</v>
      </c>
      <c r="AP4" s="184">
        <v>3</v>
      </c>
      <c r="AQ4" s="184"/>
      <c r="AR4" s="169">
        <f>6-4</f>
        <v>2</v>
      </c>
      <c r="AS4" s="184">
        <v>5</v>
      </c>
      <c r="AT4" s="184">
        <v>1</v>
      </c>
      <c r="AU4" s="169">
        <f>2-2</f>
        <v>0</v>
      </c>
      <c r="AV4" s="184">
        <v>8</v>
      </c>
      <c r="AW4" s="184">
        <v>1</v>
      </c>
      <c r="AX4" s="173">
        <f>9-18</f>
        <v>-9</v>
      </c>
      <c r="AY4" s="154">
        <f>SUM(F4:AX4)</f>
        <v>313</v>
      </c>
      <c r="AZ4" s="184">
        <v>3</v>
      </c>
      <c r="BA4" s="153">
        <v>5</v>
      </c>
      <c r="BB4" s="153"/>
      <c r="BC4" s="141"/>
      <c r="BD4" s="141">
        <v>-1</v>
      </c>
      <c r="BE4" s="141"/>
      <c r="BF4" s="141"/>
      <c r="BG4" s="141"/>
      <c r="BH4" s="141"/>
      <c r="BI4" s="141"/>
      <c r="BJ4" s="141"/>
      <c r="BK4" s="184"/>
      <c r="BL4" s="184"/>
      <c r="BM4" s="184"/>
      <c r="BN4" s="184"/>
      <c r="BO4" s="184"/>
      <c r="BP4" s="184"/>
      <c r="BQ4" s="184">
        <v>3</v>
      </c>
      <c r="BR4" s="184"/>
      <c r="BS4" s="184"/>
      <c r="BT4" s="184"/>
      <c r="BU4" s="184"/>
      <c r="BV4" s="184"/>
      <c r="BW4" s="184"/>
      <c r="BX4" s="184"/>
      <c r="BY4" s="184">
        <v>0</v>
      </c>
      <c r="BZ4" s="184"/>
      <c r="CA4" s="184">
        <v>0</v>
      </c>
      <c r="CB4" s="154">
        <f>SUM(BA4:CA4)</f>
        <v>7</v>
      </c>
      <c r="CC4" s="184">
        <v>0</v>
      </c>
      <c r="CD4" s="141">
        <f t="shared" ref="CD4:CD35" si="0">+AY4+CB4</f>
        <v>320</v>
      </c>
      <c r="CE4" s="141">
        <f t="shared" ref="CE4:CE35" si="1">+AZ4+CC4</f>
        <v>3</v>
      </c>
      <c r="CF4" s="155">
        <f t="shared" ref="CF4:CF35" si="2">+AY4+AZ4+D4</f>
        <v>316</v>
      </c>
      <c r="CG4" s="156">
        <f t="shared" ref="CG4:CG33" si="3">+CB4+CC4</f>
        <v>7</v>
      </c>
      <c r="CH4" s="14"/>
      <c r="CI4" s="13" t="s">
        <v>104</v>
      </c>
      <c r="CJ4" s="12"/>
      <c r="CK4" s="129">
        <f t="shared" ref="CK4" si="4">+D56</f>
        <v>-46</v>
      </c>
      <c r="CL4" s="138">
        <f t="shared" ref="CL4:EA4" si="5">+E56</f>
        <v>5375</v>
      </c>
      <c r="CM4" s="105">
        <f t="shared" si="5"/>
        <v>-33</v>
      </c>
      <c r="CN4" s="105">
        <f t="shared" si="5"/>
        <v>-47</v>
      </c>
      <c r="CO4" s="105">
        <f t="shared" si="5"/>
        <v>-40</v>
      </c>
      <c r="CP4" s="105">
        <f t="shared" si="5"/>
        <v>-46</v>
      </c>
      <c r="CQ4" s="105">
        <f t="shared" si="5"/>
        <v>-53</v>
      </c>
      <c r="CR4" s="105">
        <f t="shared" si="5"/>
        <v>-57</v>
      </c>
      <c r="CS4" s="105">
        <f t="shared" si="5"/>
        <v>-40</v>
      </c>
      <c r="CT4" s="105">
        <f t="shared" si="5"/>
        <v>-45</v>
      </c>
      <c r="CU4" s="137">
        <f t="shared" si="5"/>
        <v>-47</v>
      </c>
      <c r="CV4" s="137">
        <f t="shared" si="5"/>
        <v>-56</v>
      </c>
      <c r="CW4" s="137">
        <f t="shared" si="5"/>
        <v>-35</v>
      </c>
      <c r="CX4" s="137">
        <f t="shared" si="5"/>
        <v>-53</v>
      </c>
      <c r="CY4" s="137">
        <f t="shared" si="5"/>
        <v>-69</v>
      </c>
      <c r="CZ4" s="137">
        <f t="shared" si="5"/>
        <v>-70</v>
      </c>
      <c r="DA4" s="137">
        <f t="shared" si="5"/>
        <v>-82</v>
      </c>
      <c r="DB4" s="137">
        <f t="shared" si="5"/>
        <v>-37</v>
      </c>
      <c r="DC4" s="137">
        <f t="shared" si="5"/>
        <v>-16</v>
      </c>
      <c r="DD4" s="137">
        <f t="shared" si="5"/>
        <v>-36</v>
      </c>
      <c r="DE4" s="129">
        <f t="shared" si="5"/>
        <v>5644</v>
      </c>
      <c r="DF4" s="129">
        <f t="shared" si="5"/>
        <v>544</v>
      </c>
      <c r="DG4" s="129">
        <f t="shared" si="5"/>
        <v>614</v>
      </c>
      <c r="DH4" s="129">
        <f t="shared" si="5"/>
        <v>641</v>
      </c>
      <c r="DI4" s="129">
        <f t="shared" si="5"/>
        <v>912</v>
      </c>
      <c r="DJ4" s="129">
        <f t="shared" si="5"/>
        <v>822</v>
      </c>
      <c r="DK4" s="129">
        <f t="shared" si="5"/>
        <v>919</v>
      </c>
      <c r="DL4" s="129">
        <f t="shared" si="5"/>
        <v>724</v>
      </c>
      <c r="DM4" s="129">
        <f t="shared" si="5"/>
        <v>686</v>
      </c>
      <c r="DN4" s="139">
        <f t="shared" si="5"/>
        <v>602</v>
      </c>
      <c r="DO4" s="139">
        <f t="shared" si="5"/>
        <v>769</v>
      </c>
      <c r="DP4" s="139">
        <f t="shared" si="5"/>
        <v>588</v>
      </c>
      <c r="DQ4" s="139">
        <f t="shared" si="5"/>
        <v>763</v>
      </c>
      <c r="DR4" s="139">
        <f t="shared" si="5"/>
        <v>889</v>
      </c>
      <c r="DS4" s="139">
        <f t="shared" si="5"/>
        <v>886</v>
      </c>
      <c r="DT4" s="139">
        <f t="shared" si="5"/>
        <v>474</v>
      </c>
      <c r="DU4" s="139">
        <f t="shared" si="5"/>
        <v>360</v>
      </c>
      <c r="DV4" s="139">
        <f t="shared" si="5"/>
        <v>268</v>
      </c>
      <c r="DW4" s="139">
        <f t="shared" si="5"/>
        <v>253</v>
      </c>
      <c r="DX4" s="139">
        <f t="shared" si="5"/>
        <v>345</v>
      </c>
      <c r="DY4" s="139">
        <f t="shared" si="5"/>
        <v>284</v>
      </c>
      <c r="DZ4" s="139">
        <f t="shared" si="5"/>
        <v>285</v>
      </c>
      <c r="EA4" s="139">
        <f t="shared" si="5"/>
        <v>330</v>
      </c>
      <c r="EB4" s="139">
        <f t="shared" ref="EB4" si="6">+AU56</f>
        <v>364</v>
      </c>
      <c r="EC4" s="139">
        <f t="shared" ref="EC4" si="7">+AV56</f>
        <v>211</v>
      </c>
      <c r="ED4" s="139">
        <f t="shared" ref="ED4" si="8">+AW56</f>
        <v>176</v>
      </c>
      <c r="EE4" s="139">
        <f t="shared" ref="EE4:EG4" si="9">+AX56</f>
        <v>237</v>
      </c>
      <c r="EF4" s="139">
        <f t="shared" ref="EF4" si="10">+AY56</f>
        <v>18729</v>
      </c>
      <c r="EG4" s="139">
        <f t="shared" si="9"/>
        <v>331</v>
      </c>
      <c r="EH4" s="139">
        <f t="shared" ref="EH4:FN4" si="11">+BA56</f>
        <v>202</v>
      </c>
      <c r="EI4" s="139">
        <f t="shared" si="11"/>
        <v>15</v>
      </c>
      <c r="EJ4" s="139">
        <f t="shared" si="11"/>
        <v>51</v>
      </c>
      <c r="EK4" s="139">
        <f t="shared" si="11"/>
        <v>-63</v>
      </c>
      <c r="EL4" s="139">
        <f t="shared" si="11"/>
        <v>41</v>
      </c>
      <c r="EM4" s="139">
        <f t="shared" si="11"/>
        <v>64</v>
      </c>
      <c r="EN4" s="139">
        <f t="shared" si="11"/>
        <v>46</v>
      </c>
      <c r="EO4" s="139">
        <f t="shared" si="11"/>
        <v>70</v>
      </c>
      <c r="EP4" s="139">
        <f t="shared" si="11"/>
        <v>63</v>
      </c>
      <c r="EQ4" s="159">
        <f t="shared" si="11"/>
        <v>38</v>
      </c>
      <c r="ER4" s="159">
        <f t="shared" si="11"/>
        <v>46</v>
      </c>
      <c r="ES4" s="159">
        <f t="shared" si="11"/>
        <v>32</v>
      </c>
      <c r="ET4" s="159">
        <f t="shared" si="11"/>
        <v>49</v>
      </c>
      <c r="EU4" s="159">
        <f t="shared" si="11"/>
        <v>16</v>
      </c>
      <c r="EV4" s="159">
        <f t="shared" si="11"/>
        <v>25</v>
      </c>
      <c r="EW4" s="139">
        <f t="shared" si="11"/>
        <v>43</v>
      </c>
      <c r="EX4" s="159">
        <f t="shared" si="11"/>
        <v>13</v>
      </c>
      <c r="EY4" s="159">
        <f t="shared" si="11"/>
        <v>25</v>
      </c>
      <c r="EZ4" s="159">
        <f t="shared" si="11"/>
        <v>14</v>
      </c>
      <c r="FA4" s="159">
        <f t="shared" si="11"/>
        <v>13</v>
      </c>
      <c r="FB4" s="159">
        <f t="shared" si="11"/>
        <v>29</v>
      </c>
      <c r="FC4" s="159">
        <f t="shared" si="11"/>
        <v>19</v>
      </c>
      <c r="FD4" s="159">
        <f t="shared" si="11"/>
        <v>10</v>
      </c>
      <c r="FE4" s="159">
        <f t="shared" si="11"/>
        <v>42</v>
      </c>
      <c r="FF4" s="159">
        <f t="shared" si="11"/>
        <v>9</v>
      </c>
      <c r="FG4" s="159">
        <f t="shared" si="11"/>
        <v>27</v>
      </c>
      <c r="FH4" s="159">
        <f t="shared" si="11"/>
        <v>6</v>
      </c>
      <c r="FI4" s="159">
        <f t="shared" si="11"/>
        <v>944</v>
      </c>
      <c r="FJ4" s="159">
        <f t="shared" si="11"/>
        <v>34</v>
      </c>
      <c r="FK4" s="140">
        <f t="shared" si="11"/>
        <v>19673</v>
      </c>
      <c r="FL4" s="141">
        <f t="shared" si="11"/>
        <v>365</v>
      </c>
      <c r="FM4" s="158">
        <f t="shared" si="11"/>
        <v>19014</v>
      </c>
      <c r="FN4" s="157">
        <f t="shared" si="11"/>
        <v>978</v>
      </c>
      <c r="FO4" s="67"/>
    </row>
    <row r="5" spans="1:172" x14ac:dyDescent="0.25">
      <c r="A5" s="14">
        <v>2</v>
      </c>
      <c r="B5" s="2" t="s">
        <v>6</v>
      </c>
      <c r="C5" s="15"/>
      <c r="D5" s="183"/>
      <c r="E5" s="150">
        <v>107</v>
      </c>
      <c r="F5" s="150"/>
      <c r="G5" s="136"/>
      <c r="H5" s="136"/>
      <c r="I5" s="136">
        <v>-3</v>
      </c>
      <c r="J5" s="136">
        <v>-1</v>
      </c>
      <c r="K5" s="136">
        <v>-2</v>
      </c>
      <c r="L5" s="136"/>
      <c r="M5" s="136">
        <v>-1</v>
      </c>
      <c r="N5" s="136">
        <v>-1</v>
      </c>
      <c r="O5" s="136"/>
      <c r="P5" s="136"/>
      <c r="Q5" s="183"/>
      <c r="R5" s="183"/>
      <c r="S5" s="183"/>
      <c r="T5" s="183"/>
      <c r="U5" s="183"/>
      <c r="V5" s="183"/>
      <c r="W5" s="183">
        <v>-1</v>
      </c>
      <c r="X5" s="131">
        <v>93</v>
      </c>
      <c r="Y5" s="131"/>
      <c r="Z5" s="130">
        <v>8</v>
      </c>
      <c r="AA5" s="130">
        <v>27</v>
      </c>
      <c r="AB5" s="130">
        <v>31</v>
      </c>
      <c r="AC5" s="130">
        <v>26</v>
      </c>
      <c r="AD5" s="130">
        <v>6</v>
      </c>
      <c r="AE5" s="130">
        <v>3</v>
      </c>
      <c r="AF5" s="169">
        <f>13-2</f>
        <v>11</v>
      </c>
      <c r="AG5" s="130">
        <v>21</v>
      </c>
      <c r="AH5" s="185">
        <v>2</v>
      </c>
      <c r="AI5" s="185">
        <v>1</v>
      </c>
      <c r="AJ5" s="185">
        <v>5</v>
      </c>
      <c r="AK5" s="185">
        <v>6</v>
      </c>
      <c r="AL5" s="185">
        <v>3</v>
      </c>
      <c r="AM5" s="185">
        <v>6</v>
      </c>
      <c r="AN5" s="184">
        <v>4</v>
      </c>
      <c r="AO5" s="185"/>
      <c r="AP5" s="185">
        <v>1</v>
      </c>
      <c r="AQ5" s="185">
        <v>4</v>
      </c>
      <c r="AR5" s="169">
        <f>28-2</f>
        <v>26</v>
      </c>
      <c r="AS5" s="184">
        <v>7</v>
      </c>
      <c r="AT5" s="169">
        <f>4-1</f>
        <v>3</v>
      </c>
      <c r="AU5" s="228">
        <f>35-5-1</f>
        <v>29</v>
      </c>
      <c r="AV5" s="173">
        <f>27-2</f>
        <v>25</v>
      </c>
      <c r="AW5" s="185">
        <v>9</v>
      </c>
      <c r="AX5" s="228">
        <f>6-1+2</f>
        <v>7</v>
      </c>
      <c r="AY5" s="154">
        <f t="shared" ref="AY5:AY53" si="12">SUM(F5:AX5)</f>
        <v>355</v>
      </c>
      <c r="AZ5" s="185">
        <v>1</v>
      </c>
      <c r="BA5" s="131">
        <v>17</v>
      </c>
      <c r="BB5" s="131"/>
      <c r="BC5" s="130"/>
      <c r="BD5" s="130">
        <v>2</v>
      </c>
      <c r="BE5" s="130">
        <v>6</v>
      </c>
      <c r="BF5" s="130">
        <v>2</v>
      </c>
      <c r="BG5" s="130"/>
      <c r="BH5" s="130"/>
      <c r="BI5" s="169">
        <f>1+2</f>
        <v>3</v>
      </c>
      <c r="BJ5" s="130">
        <v>5</v>
      </c>
      <c r="BK5" s="185"/>
      <c r="BL5" s="185"/>
      <c r="BM5" s="185"/>
      <c r="BN5" s="185"/>
      <c r="BO5" s="185">
        <v>2</v>
      </c>
      <c r="BP5" s="185">
        <v>4</v>
      </c>
      <c r="BQ5" s="185"/>
      <c r="BR5" s="185"/>
      <c r="BS5" s="185"/>
      <c r="BT5" s="185"/>
      <c r="BU5" s="185"/>
      <c r="BV5" s="185"/>
      <c r="BW5" s="185"/>
      <c r="BX5" s="229">
        <f>0+1</f>
        <v>1</v>
      </c>
      <c r="BY5" s="184">
        <v>0</v>
      </c>
      <c r="BZ5" s="185">
        <v>2</v>
      </c>
      <c r="CA5" s="229">
        <v>-2</v>
      </c>
      <c r="CB5" s="154">
        <f t="shared" ref="CB5:CB53" si="13">SUM(BA5:CA5)</f>
        <v>42</v>
      </c>
      <c r="CC5" s="185">
        <v>0</v>
      </c>
      <c r="CD5" s="130">
        <f t="shared" si="0"/>
        <v>397</v>
      </c>
      <c r="CE5" s="130">
        <f t="shared" si="1"/>
        <v>1</v>
      </c>
      <c r="CF5" s="133">
        <f t="shared" si="2"/>
        <v>356</v>
      </c>
      <c r="CG5" s="134">
        <f t="shared" si="3"/>
        <v>42</v>
      </c>
      <c r="CH5" s="14">
        <v>51</v>
      </c>
      <c r="CI5" s="2" t="s">
        <v>54</v>
      </c>
      <c r="CJ5" s="22"/>
      <c r="CK5" s="183">
        <v>-4</v>
      </c>
      <c r="CL5" s="16">
        <v>113</v>
      </c>
      <c r="CM5" s="16"/>
      <c r="CN5" s="17"/>
      <c r="CO5" s="17"/>
      <c r="CP5" s="17"/>
      <c r="CQ5" s="17">
        <v>-1</v>
      </c>
      <c r="CR5" s="136">
        <v>-2</v>
      </c>
      <c r="CS5" s="136"/>
      <c r="CT5" s="136">
        <v>-1</v>
      </c>
      <c r="CU5" s="136"/>
      <c r="CV5" s="136"/>
      <c r="CW5" s="136">
        <v>-1</v>
      </c>
      <c r="CX5" s="183"/>
      <c r="CY5" s="183"/>
      <c r="CZ5" s="183">
        <v>-1</v>
      </c>
      <c r="DA5" s="183"/>
      <c r="DB5" s="183">
        <v>-1</v>
      </c>
      <c r="DC5" s="183"/>
      <c r="DD5" s="183">
        <v>-2</v>
      </c>
      <c r="DE5" s="18">
        <v>113</v>
      </c>
      <c r="DF5" s="18"/>
      <c r="DG5" s="19"/>
      <c r="DH5" s="19">
        <v>2</v>
      </c>
      <c r="DI5" s="19">
        <v>16</v>
      </c>
      <c r="DJ5" s="19">
        <f>14+1</f>
        <v>15</v>
      </c>
      <c r="DK5" s="130">
        <v>13</v>
      </c>
      <c r="DL5" s="130">
        <v>19</v>
      </c>
      <c r="DM5" s="130">
        <v>35</v>
      </c>
      <c r="DN5" s="130">
        <v>51</v>
      </c>
      <c r="DO5" s="185">
        <v>14</v>
      </c>
      <c r="DP5" s="185">
        <v>45</v>
      </c>
      <c r="DQ5" s="185">
        <v>1</v>
      </c>
      <c r="DR5" s="185">
        <v>5</v>
      </c>
      <c r="DS5" s="185">
        <v>7</v>
      </c>
      <c r="DT5" s="185">
        <v>24</v>
      </c>
      <c r="DU5" s="185">
        <v>16</v>
      </c>
      <c r="DV5" s="185">
        <v>6</v>
      </c>
      <c r="DW5" s="185">
        <v>1</v>
      </c>
      <c r="DX5" s="185">
        <v>3</v>
      </c>
      <c r="DY5" s="185">
        <v>6</v>
      </c>
      <c r="DZ5" s="185">
        <v>1</v>
      </c>
      <c r="EA5" s="169">
        <f>5-1</f>
        <v>4</v>
      </c>
      <c r="EB5" s="169">
        <f>28-4</f>
        <v>24</v>
      </c>
      <c r="EC5" s="169">
        <v>4</v>
      </c>
      <c r="ED5" s="185">
        <v>1</v>
      </c>
      <c r="EE5" s="185">
        <v>5</v>
      </c>
      <c r="EF5" s="132">
        <f>SUM(CM5:EE5)</f>
        <v>422</v>
      </c>
      <c r="EG5" s="185">
        <v>15</v>
      </c>
      <c r="EH5" s="131">
        <v>1</v>
      </c>
      <c r="EI5" s="131"/>
      <c r="EJ5" s="130"/>
      <c r="EK5" s="130"/>
      <c r="EL5" s="130">
        <v>2</v>
      </c>
      <c r="EM5" s="130">
        <f>1-1</f>
        <v>0</v>
      </c>
      <c r="EN5" s="130"/>
      <c r="EO5" s="130"/>
      <c r="EP5" s="130"/>
      <c r="EQ5" s="130"/>
      <c r="ER5" s="185"/>
      <c r="ES5" s="185"/>
      <c r="ET5" s="185"/>
      <c r="EU5" s="185"/>
      <c r="EV5" s="185"/>
      <c r="EW5" s="185"/>
      <c r="EX5" s="185"/>
      <c r="EY5" s="185"/>
      <c r="EZ5" s="185">
        <v>1</v>
      </c>
      <c r="FA5" s="185"/>
      <c r="FB5" s="185"/>
      <c r="FC5" s="185"/>
      <c r="FD5" s="185"/>
      <c r="FE5" s="185"/>
      <c r="FF5" s="185"/>
      <c r="FG5" s="185"/>
      <c r="FH5" s="185"/>
      <c r="FI5" s="132">
        <f t="shared" ref="FI5:FI54" si="14">SUM(EH5:FH5)</f>
        <v>4</v>
      </c>
      <c r="FJ5" s="185">
        <v>0</v>
      </c>
      <c r="FK5" s="130">
        <f t="shared" ref="FK5:FK36" si="15">+EF5+FI5</f>
        <v>426</v>
      </c>
      <c r="FL5" s="130">
        <f t="shared" ref="FL5:FL36" si="16">+EG5+FJ5</f>
        <v>15</v>
      </c>
      <c r="FM5" s="133">
        <f t="shared" ref="FM5:FM36" si="17">+EF5+EG5+CK5</f>
        <v>433</v>
      </c>
      <c r="FN5" s="134">
        <f t="shared" ref="FN5:FN26" si="18">+FI5+FJ5</f>
        <v>4</v>
      </c>
      <c r="FO5" s="67"/>
      <c r="FP5" s="67"/>
    </row>
    <row r="6" spans="1:172" x14ac:dyDescent="0.25">
      <c r="A6" s="14">
        <v>3</v>
      </c>
      <c r="B6" s="2" t="s">
        <v>7</v>
      </c>
      <c r="C6" s="15"/>
      <c r="D6" s="183"/>
      <c r="E6" s="150">
        <v>59</v>
      </c>
      <c r="F6" s="150"/>
      <c r="G6" s="136"/>
      <c r="H6" s="136"/>
      <c r="I6" s="136">
        <v>-1</v>
      </c>
      <c r="J6" s="136">
        <v>-1</v>
      </c>
      <c r="K6" s="136"/>
      <c r="L6" s="136"/>
      <c r="M6" s="136"/>
      <c r="N6" s="136"/>
      <c r="O6" s="136"/>
      <c r="P6" s="136"/>
      <c r="Q6" s="183"/>
      <c r="R6" s="183"/>
      <c r="S6" s="183"/>
      <c r="T6" s="183"/>
      <c r="U6" s="183"/>
      <c r="V6" s="183"/>
      <c r="W6" s="183"/>
      <c r="X6" s="131">
        <v>58</v>
      </c>
      <c r="Y6" s="131">
        <v>1</v>
      </c>
      <c r="Z6" s="130">
        <v>8</v>
      </c>
      <c r="AA6" s="130"/>
      <c r="AB6" s="130">
        <v>10</v>
      </c>
      <c r="AC6" s="130">
        <v>11</v>
      </c>
      <c r="AD6" s="130">
        <v>4</v>
      </c>
      <c r="AE6" s="130">
        <v>3</v>
      </c>
      <c r="AF6" s="130"/>
      <c r="AG6" s="130">
        <v>5</v>
      </c>
      <c r="AH6" s="185">
        <v>5</v>
      </c>
      <c r="AI6" s="185">
        <v>6</v>
      </c>
      <c r="AJ6" s="185">
        <v>9</v>
      </c>
      <c r="AK6" s="185">
        <v>1</v>
      </c>
      <c r="AL6" s="185">
        <v>3</v>
      </c>
      <c r="AM6" s="185">
        <v>1</v>
      </c>
      <c r="AN6" s="184">
        <v>2</v>
      </c>
      <c r="AO6" s="185">
        <v>9</v>
      </c>
      <c r="AP6" s="185">
        <v>1</v>
      </c>
      <c r="AQ6" s="185">
        <v>2</v>
      </c>
      <c r="AR6" s="184">
        <v>3</v>
      </c>
      <c r="AS6" s="184">
        <v>0</v>
      </c>
      <c r="AT6" s="185">
        <v>0</v>
      </c>
      <c r="AU6" s="185">
        <v>1</v>
      </c>
      <c r="AV6" s="184">
        <v>0</v>
      </c>
      <c r="AW6" s="185">
        <v>0</v>
      </c>
      <c r="AX6" s="184">
        <v>6</v>
      </c>
      <c r="AY6" s="154">
        <f t="shared" si="12"/>
        <v>147</v>
      </c>
      <c r="AZ6" s="185">
        <v>1</v>
      </c>
      <c r="BA6" s="131">
        <v>2</v>
      </c>
      <c r="BB6" s="131"/>
      <c r="BC6" s="130"/>
      <c r="BD6" s="130"/>
      <c r="BE6" s="130"/>
      <c r="BF6" s="130"/>
      <c r="BG6" s="130"/>
      <c r="BH6" s="130"/>
      <c r="BI6" s="130"/>
      <c r="BJ6" s="130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4"/>
      <c r="BZ6" s="185"/>
      <c r="CA6" s="184">
        <v>0</v>
      </c>
      <c r="CB6" s="154">
        <f t="shared" si="13"/>
        <v>2</v>
      </c>
      <c r="CC6" s="185">
        <v>0</v>
      </c>
      <c r="CD6" s="130">
        <f t="shared" si="0"/>
        <v>149</v>
      </c>
      <c r="CE6" s="130">
        <f t="shared" si="1"/>
        <v>1</v>
      </c>
      <c r="CF6" s="133">
        <f t="shared" si="2"/>
        <v>148</v>
      </c>
      <c r="CG6" s="134">
        <f t="shared" si="3"/>
        <v>2</v>
      </c>
      <c r="CH6" s="14">
        <v>52</v>
      </c>
      <c r="CI6" s="2" t="s">
        <v>55</v>
      </c>
      <c r="CJ6" s="22"/>
      <c r="CK6" s="183"/>
      <c r="CL6" s="16">
        <v>68</v>
      </c>
      <c r="CM6" s="16"/>
      <c r="CN6" s="17"/>
      <c r="CO6" s="17"/>
      <c r="CP6" s="17">
        <v>-1</v>
      </c>
      <c r="CQ6" s="17"/>
      <c r="CR6" s="136"/>
      <c r="CS6" s="136">
        <v>-1</v>
      </c>
      <c r="CT6" s="136"/>
      <c r="CU6" s="136"/>
      <c r="CV6" s="136"/>
      <c r="CW6" s="136">
        <v>-2</v>
      </c>
      <c r="CX6" s="183"/>
      <c r="CY6" s="183">
        <v>-2</v>
      </c>
      <c r="CZ6" s="183"/>
      <c r="DA6" s="183"/>
      <c r="DB6" s="183"/>
      <c r="DC6" s="183"/>
      <c r="DD6" s="183"/>
      <c r="DE6" s="18">
        <v>64</v>
      </c>
      <c r="DF6" s="18"/>
      <c r="DG6" s="19"/>
      <c r="DH6" s="19"/>
      <c r="DI6" s="19">
        <v>22</v>
      </c>
      <c r="DJ6" s="19">
        <v>1</v>
      </c>
      <c r="DK6" s="130">
        <v>5</v>
      </c>
      <c r="DL6" s="130">
        <v>1</v>
      </c>
      <c r="DM6" s="130"/>
      <c r="DN6" s="130">
        <v>11</v>
      </c>
      <c r="DO6" s="185">
        <v>1</v>
      </c>
      <c r="DP6" s="185">
        <v>29</v>
      </c>
      <c r="DQ6" s="185">
        <v>39</v>
      </c>
      <c r="DR6" s="185">
        <v>11</v>
      </c>
      <c r="DS6" s="185">
        <v>12</v>
      </c>
      <c r="DT6" s="185">
        <v>18</v>
      </c>
      <c r="DU6" s="169">
        <f>8-1</f>
        <v>7</v>
      </c>
      <c r="DV6" s="185">
        <v>8</v>
      </c>
      <c r="DW6" s="185">
        <v>6</v>
      </c>
      <c r="DX6" s="185">
        <v>1</v>
      </c>
      <c r="DY6" s="185"/>
      <c r="DZ6" s="185">
        <v>1</v>
      </c>
      <c r="EA6" s="185"/>
      <c r="EB6" s="185"/>
      <c r="EC6" s="185"/>
      <c r="ED6" s="185"/>
      <c r="EE6" s="185">
        <v>0</v>
      </c>
      <c r="EF6" s="132">
        <f t="shared" ref="EF6:EF55" si="19">SUM(CM6:EE6)</f>
        <v>231</v>
      </c>
      <c r="EG6" s="185">
        <v>0</v>
      </c>
      <c r="EH6" s="131">
        <v>5</v>
      </c>
      <c r="EI6" s="131"/>
      <c r="EJ6" s="130"/>
      <c r="EK6" s="130"/>
      <c r="EL6" s="130"/>
      <c r="EM6" s="130"/>
      <c r="EN6" s="130"/>
      <c r="EO6" s="130"/>
      <c r="EP6" s="130"/>
      <c r="EQ6" s="130"/>
      <c r="ER6" s="185">
        <v>2</v>
      </c>
      <c r="ES6" s="185">
        <v>3</v>
      </c>
      <c r="ET6" s="185">
        <v>1</v>
      </c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32">
        <f t="shared" si="14"/>
        <v>11</v>
      </c>
      <c r="FJ6" s="185">
        <v>0</v>
      </c>
      <c r="FK6" s="130">
        <f t="shared" si="15"/>
        <v>242</v>
      </c>
      <c r="FL6" s="130">
        <f t="shared" si="16"/>
        <v>0</v>
      </c>
      <c r="FM6" s="133">
        <f t="shared" si="17"/>
        <v>231</v>
      </c>
      <c r="FN6" s="134">
        <f t="shared" si="18"/>
        <v>11</v>
      </c>
      <c r="FO6" s="67"/>
      <c r="FP6" s="67"/>
    </row>
    <row r="7" spans="1:172" x14ac:dyDescent="0.25">
      <c r="A7" s="14">
        <v>4</v>
      </c>
      <c r="B7" s="2" t="s">
        <v>8</v>
      </c>
      <c r="C7" s="15"/>
      <c r="D7" s="183"/>
      <c r="E7" s="150">
        <v>270</v>
      </c>
      <c r="F7" s="150">
        <v>-5</v>
      </c>
      <c r="G7" s="136">
        <v>-4</v>
      </c>
      <c r="H7" s="136">
        <v>-1</v>
      </c>
      <c r="I7" s="136"/>
      <c r="J7" s="136">
        <v>-4</v>
      </c>
      <c r="K7" s="136">
        <v>-8</v>
      </c>
      <c r="L7" s="136"/>
      <c r="M7" s="136"/>
      <c r="N7" s="136">
        <v>-4</v>
      </c>
      <c r="O7" s="136">
        <v>-2</v>
      </c>
      <c r="P7" s="136">
        <v>-6</v>
      </c>
      <c r="Q7" s="183">
        <v>-3</v>
      </c>
      <c r="R7" s="183">
        <v>-1</v>
      </c>
      <c r="S7" s="183">
        <v>-12</v>
      </c>
      <c r="T7" s="183">
        <v>-3</v>
      </c>
      <c r="U7" s="183">
        <v>-2</v>
      </c>
      <c r="V7" s="183"/>
      <c r="W7" s="183">
        <v>-2</v>
      </c>
      <c r="X7" s="131">
        <v>266</v>
      </c>
      <c r="Y7" s="131">
        <v>16</v>
      </c>
      <c r="Z7" s="130">
        <v>29</v>
      </c>
      <c r="AA7" s="130">
        <v>7</v>
      </c>
      <c r="AB7" s="130">
        <v>10</v>
      </c>
      <c r="AC7" s="130">
        <v>21</v>
      </c>
      <c r="AD7" s="130">
        <v>40</v>
      </c>
      <c r="AE7" s="130">
        <v>9</v>
      </c>
      <c r="AF7" s="130">
        <v>11</v>
      </c>
      <c r="AG7" s="130">
        <v>41</v>
      </c>
      <c r="AH7" s="185">
        <v>9</v>
      </c>
      <c r="AI7" s="185">
        <v>21</v>
      </c>
      <c r="AJ7" s="185">
        <v>22</v>
      </c>
      <c r="AK7" s="185">
        <v>8</v>
      </c>
      <c r="AL7" s="185">
        <v>135</v>
      </c>
      <c r="AM7" s="185">
        <v>16</v>
      </c>
      <c r="AN7" s="169">
        <f>27-7</f>
        <v>20</v>
      </c>
      <c r="AO7" s="185">
        <v>17</v>
      </c>
      <c r="AP7" s="185">
        <v>9</v>
      </c>
      <c r="AQ7" s="185">
        <v>18</v>
      </c>
      <c r="AR7" s="169">
        <f>7-2</f>
        <v>5</v>
      </c>
      <c r="AS7" s="169">
        <f>5-2</f>
        <v>3</v>
      </c>
      <c r="AT7" s="169">
        <f>30-3</f>
        <v>27</v>
      </c>
      <c r="AU7" s="130">
        <v>11</v>
      </c>
      <c r="AV7" s="184">
        <v>11</v>
      </c>
      <c r="AW7" s="173">
        <f>7-4</f>
        <v>3</v>
      </c>
      <c r="AX7" s="173">
        <f>24-2</f>
        <v>22</v>
      </c>
      <c r="AY7" s="154">
        <f t="shared" si="12"/>
        <v>750</v>
      </c>
      <c r="AZ7" s="185">
        <v>24</v>
      </c>
      <c r="BA7" s="131">
        <v>5</v>
      </c>
      <c r="BB7" s="131"/>
      <c r="BC7" s="130"/>
      <c r="BD7" s="130">
        <v>-2</v>
      </c>
      <c r="BE7" s="130"/>
      <c r="BF7" s="130"/>
      <c r="BG7" s="130">
        <v>1</v>
      </c>
      <c r="BH7" s="130"/>
      <c r="BI7" s="130">
        <v>3</v>
      </c>
      <c r="BJ7" s="130"/>
      <c r="BK7" s="185"/>
      <c r="BL7" s="185">
        <v>1</v>
      </c>
      <c r="BM7" s="185"/>
      <c r="BN7" s="185"/>
      <c r="BO7" s="185">
        <v>1</v>
      </c>
      <c r="BP7" s="185">
        <v>1</v>
      </c>
      <c r="BQ7" s="185"/>
      <c r="BR7" s="185"/>
      <c r="BS7" s="185"/>
      <c r="BT7" s="185"/>
      <c r="BU7" s="185"/>
      <c r="BV7" s="185"/>
      <c r="BW7" s="185"/>
      <c r="BX7" s="185"/>
      <c r="BY7" s="184"/>
      <c r="BZ7" s="185"/>
      <c r="CA7" s="184">
        <v>0</v>
      </c>
      <c r="CB7" s="154">
        <f t="shared" si="13"/>
        <v>10</v>
      </c>
      <c r="CC7" s="185">
        <v>0</v>
      </c>
      <c r="CD7" s="130">
        <f t="shared" si="0"/>
        <v>760</v>
      </c>
      <c r="CE7" s="130">
        <f t="shared" si="1"/>
        <v>24</v>
      </c>
      <c r="CF7" s="133">
        <f t="shared" si="2"/>
        <v>774</v>
      </c>
      <c r="CG7" s="134">
        <f t="shared" si="3"/>
        <v>10</v>
      </c>
      <c r="CH7" s="14">
        <v>53</v>
      </c>
      <c r="CI7" s="2" t="s">
        <v>56</v>
      </c>
      <c r="CJ7" s="22"/>
      <c r="CK7" s="183"/>
      <c r="CL7" s="16">
        <v>94</v>
      </c>
      <c r="CM7" s="16"/>
      <c r="CN7" s="17"/>
      <c r="CO7" s="17"/>
      <c r="CP7" s="17">
        <v>-1</v>
      </c>
      <c r="CQ7" s="17">
        <v>-1</v>
      </c>
      <c r="CR7" s="136"/>
      <c r="CS7" s="136"/>
      <c r="CT7" s="136"/>
      <c r="CU7" s="136"/>
      <c r="CV7" s="136"/>
      <c r="CW7" s="136"/>
      <c r="CX7" s="183"/>
      <c r="CY7" s="183">
        <v>-1</v>
      </c>
      <c r="CZ7" s="183"/>
      <c r="DA7" s="183"/>
      <c r="DB7" s="183"/>
      <c r="DC7" s="183"/>
      <c r="DD7" s="183">
        <v>-1</v>
      </c>
      <c r="DE7" s="18">
        <v>83</v>
      </c>
      <c r="DF7" s="18">
        <v>3</v>
      </c>
      <c r="DG7" s="19"/>
      <c r="DH7" s="19">
        <v>10</v>
      </c>
      <c r="DI7" s="19">
        <v>1</v>
      </c>
      <c r="DJ7" s="19">
        <v>2</v>
      </c>
      <c r="DK7" s="130">
        <v>1</v>
      </c>
      <c r="DL7" s="130">
        <v>2</v>
      </c>
      <c r="DM7" s="130"/>
      <c r="DN7" s="130">
        <v>1</v>
      </c>
      <c r="DO7" s="185"/>
      <c r="DP7" s="185">
        <v>1</v>
      </c>
      <c r="DQ7" s="185"/>
      <c r="DR7" s="185">
        <v>4</v>
      </c>
      <c r="DS7" s="185">
        <v>4</v>
      </c>
      <c r="DT7" s="185"/>
      <c r="DU7" s="185"/>
      <c r="DV7" s="185"/>
      <c r="DW7" s="185">
        <v>3</v>
      </c>
      <c r="DX7" s="185">
        <v>5</v>
      </c>
      <c r="DY7" s="185">
        <v>2</v>
      </c>
      <c r="DZ7" s="185">
        <v>1</v>
      </c>
      <c r="EA7" s="185">
        <v>2</v>
      </c>
      <c r="EB7" s="185">
        <v>2</v>
      </c>
      <c r="EC7" s="185"/>
      <c r="ED7" s="185"/>
      <c r="EE7" s="185">
        <v>0</v>
      </c>
      <c r="EF7" s="132">
        <f t="shared" si="19"/>
        <v>123</v>
      </c>
      <c r="EG7" s="185">
        <v>0</v>
      </c>
      <c r="EH7" s="131">
        <v>12</v>
      </c>
      <c r="EI7" s="131"/>
      <c r="EJ7" s="130"/>
      <c r="EK7" s="130">
        <v>-10</v>
      </c>
      <c r="EL7" s="130">
        <v>1</v>
      </c>
      <c r="EM7" s="130"/>
      <c r="EN7" s="130"/>
      <c r="EO7" s="130"/>
      <c r="EP7" s="130"/>
      <c r="EQ7" s="130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>
        <v>1</v>
      </c>
      <c r="FG7" s="185"/>
      <c r="FH7" s="185"/>
      <c r="FI7" s="132">
        <f t="shared" si="14"/>
        <v>4</v>
      </c>
      <c r="FJ7" s="185">
        <v>0</v>
      </c>
      <c r="FK7" s="130">
        <f t="shared" si="15"/>
        <v>127</v>
      </c>
      <c r="FL7" s="130">
        <f t="shared" si="16"/>
        <v>0</v>
      </c>
      <c r="FM7" s="133">
        <f t="shared" si="17"/>
        <v>123</v>
      </c>
      <c r="FN7" s="134">
        <f t="shared" si="18"/>
        <v>4</v>
      </c>
      <c r="FO7" s="67"/>
      <c r="FP7" s="67"/>
    </row>
    <row r="8" spans="1:172" x14ac:dyDescent="0.25">
      <c r="A8" s="14">
        <v>5</v>
      </c>
      <c r="B8" s="2" t="s">
        <v>9</v>
      </c>
      <c r="C8" s="15"/>
      <c r="D8" s="183">
        <v>-3</v>
      </c>
      <c r="E8" s="150">
        <v>448</v>
      </c>
      <c r="F8" s="150">
        <v>-10</v>
      </c>
      <c r="G8" s="136">
        <v>-6</v>
      </c>
      <c r="H8" s="136">
        <v>-15</v>
      </c>
      <c r="I8" s="136">
        <v>-4</v>
      </c>
      <c r="J8" s="136">
        <v>-6</v>
      </c>
      <c r="K8" s="136">
        <v>-12</v>
      </c>
      <c r="L8" s="136">
        <v>-1</v>
      </c>
      <c r="M8" s="136">
        <v>-4</v>
      </c>
      <c r="N8" s="136">
        <v>-9</v>
      </c>
      <c r="O8" s="136">
        <v>-11</v>
      </c>
      <c r="P8" s="136">
        <v>-6</v>
      </c>
      <c r="Q8" s="183">
        <v>-6</v>
      </c>
      <c r="R8" s="183">
        <v>-6</v>
      </c>
      <c r="S8" s="183">
        <v>-14</v>
      </c>
      <c r="T8" s="183">
        <v>-9</v>
      </c>
      <c r="U8" s="183">
        <v>-4</v>
      </c>
      <c r="V8" s="183">
        <v>-3</v>
      </c>
      <c r="W8" s="183">
        <v>-7</v>
      </c>
      <c r="X8" s="131">
        <v>490</v>
      </c>
      <c r="Y8" s="131">
        <v>116</v>
      </c>
      <c r="Z8" s="130">
        <v>53</v>
      </c>
      <c r="AA8" s="130">
        <v>37</v>
      </c>
      <c r="AB8" s="130">
        <v>78</v>
      </c>
      <c r="AC8" s="130">
        <v>39</v>
      </c>
      <c r="AD8" s="130">
        <v>99</v>
      </c>
      <c r="AE8" s="130">
        <v>23</v>
      </c>
      <c r="AF8" s="130">
        <v>50</v>
      </c>
      <c r="AG8" s="130">
        <v>40</v>
      </c>
      <c r="AH8" s="185">
        <v>113</v>
      </c>
      <c r="AI8" s="169">
        <f>36-1</f>
        <v>35</v>
      </c>
      <c r="AJ8" s="185">
        <v>47</v>
      </c>
      <c r="AK8" s="185">
        <v>24</v>
      </c>
      <c r="AL8" s="185">
        <v>94</v>
      </c>
      <c r="AM8" s="185">
        <v>24</v>
      </c>
      <c r="AN8" s="169">
        <f>35-3</f>
        <v>32</v>
      </c>
      <c r="AO8" s="185">
        <v>13</v>
      </c>
      <c r="AP8" s="185">
        <v>15</v>
      </c>
      <c r="AQ8" s="185">
        <v>12</v>
      </c>
      <c r="AR8" s="169">
        <f>16-4</f>
        <v>12</v>
      </c>
      <c r="AS8" s="184">
        <f>3-1</f>
        <v>2</v>
      </c>
      <c r="AT8" s="169">
        <f>9-1</f>
        <v>8</v>
      </c>
      <c r="AU8" s="130">
        <v>13</v>
      </c>
      <c r="AV8" s="173">
        <f>4-3</f>
        <v>1</v>
      </c>
      <c r="AW8" s="173">
        <f>17-7</f>
        <v>10</v>
      </c>
      <c r="AX8" s="173">
        <f>1-1</f>
        <v>0</v>
      </c>
      <c r="AY8" s="224">
        <v>1348</v>
      </c>
      <c r="AZ8" s="185">
        <v>10</v>
      </c>
      <c r="BA8" s="131">
        <v>6</v>
      </c>
      <c r="BB8" s="131">
        <v>1</v>
      </c>
      <c r="BC8" s="130">
        <v>2</v>
      </c>
      <c r="BD8" s="130">
        <v>0</v>
      </c>
      <c r="BE8" s="130">
        <v>3</v>
      </c>
      <c r="BF8" s="130">
        <v>3</v>
      </c>
      <c r="BG8" s="130"/>
      <c r="BH8" s="130"/>
      <c r="BI8" s="130"/>
      <c r="BJ8" s="130"/>
      <c r="BK8" s="185">
        <v>6</v>
      </c>
      <c r="BL8" s="169">
        <f>4+1</f>
        <v>5</v>
      </c>
      <c r="BM8" s="185">
        <v>1</v>
      </c>
      <c r="BN8" s="185"/>
      <c r="BO8" s="185">
        <v>2</v>
      </c>
      <c r="BP8" s="185"/>
      <c r="BQ8" s="185"/>
      <c r="BR8" s="185"/>
      <c r="BS8" s="185"/>
      <c r="BT8" s="185"/>
      <c r="BU8" s="185">
        <v>2</v>
      </c>
      <c r="BV8" s="185">
        <v>1</v>
      </c>
      <c r="BW8" s="229">
        <f>0+1</f>
        <v>1</v>
      </c>
      <c r="BX8" s="185"/>
      <c r="BY8" s="184"/>
      <c r="BZ8" s="185">
        <v>2</v>
      </c>
      <c r="CA8" s="184">
        <v>0</v>
      </c>
      <c r="CB8" s="224">
        <v>34</v>
      </c>
      <c r="CC8" s="185">
        <v>0</v>
      </c>
      <c r="CD8" s="130">
        <f t="shared" si="0"/>
        <v>1382</v>
      </c>
      <c r="CE8" s="130">
        <f t="shared" si="1"/>
        <v>10</v>
      </c>
      <c r="CF8" s="133">
        <f t="shared" si="2"/>
        <v>1355</v>
      </c>
      <c r="CG8" s="134">
        <f t="shared" si="3"/>
        <v>34</v>
      </c>
      <c r="CH8" s="14">
        <v>54</v>
      </c>
      <c r="CI8" s="2" t="s">
        <v>57</v>
      </c>
      <c r="CJ8" s="22"/>
      <c r="CK8" s="183"/>
      <c r="CL8" s="16">
        <v>135</v>
      </c>
      <c r="CM8" s="16"/>
      <c r="CN8" s="17"/>
      <c r="CO8" s="17"/>
      <c r="CP8" s="17"/>
      <c r="CQ8" s="17"/>
      <c r="CR8" s="136"/>
      <c r="CS8" s="136"/>
      <c r="CT8" s="136"/>
      <c r="CU8" s="136">
        <v>-1</v>
      </c>
      <c r="CV8" s="136"/>
      <c r="CW8" s="136"/>
      <c r="CX8" s="183"/>
      <c r="CY8" s="183"/>
      <c r="CZ8" s="183"/>
      <c r="DA8" s="183"/>
      <c r="DB8" s="183"/>
      <c r="DC8" s="183"/>
      <c r="DD8" s="183"/>
      <c r="DE8" s="18">
        <v>124</v>
      </c>
      <c r="DF8" s="18">
        <v>3</v>
      </c>
      <c r="DG8" s="19">
        <v>1</v>
      </c>
      <c r="DH8" s="19">
        <v>7</v>
      </c>
      <c r="DI8" s="19">
        <v>5</v>
      </c>
      <c r="DJ8" s="19"/>
      <c r="DK8" s="130">
        <v>2</v>
      </c>
      <c r="DL8" s="130">
        <v>4</v>
      </c>
      <c r="DM8" s="130">
        <v>1</v>
      </c>
      <c r="DN8" s="130">
        <v>1</v>
      </c>
      <c r="DO8" s="185">
        <v>5</v>
      </c>
      <c r="DP8" s="185">
        <v>1</v>
      </c>
      <c r="DQ8" s="185">
        <v>7</v>
      </c>
      <c r="DR8" s="185"/>
      <c r="DS8" s="185">
        <v>1</v>
      </c>
      <c r="DT8" s="185"/>
      <c r="DU8" s="185"/>
      <c r="DV8" s="185"/>
      <c r="DW8" s="185">
        <v>1</v>
      </c>
      <c r="DX8" s="185"/>
      <c r="DY8" s="185"/>
      <c r="DZ8" s="185">
        <v>1</v>
      </c>
      <c r="EA8" s="185">
        <v>1</v>
      </c>
      <c r="EB8" s="227">
        <f>1-2+1</f>
        <v>0</v>
      </c>
      <c r="EC8" s="185"/>
      <c r="ED8" s="185">
        <v>1</v>
      </c>
      <c r="EE8" s="185">
        <v>0</v>
      </c>
      <c r="EF8" s="132">
        <f t="shared" si="19"/>
        <v>165</v>
      </c>
      <c r="EG8" s="185">
        <v>2</v>
      </c>
      <c r="EH8" s="131">
        <v>12</v>
      </c>
      <c r="EI8" s="131">
        <v>3</v>
      </c>
      <c r="EJ8" s="130"/>
      <c r="EK8" s="130">
        <v>-3</v>
      </c>
      <c r="EL8" s="130"/>
      <c r="EM8" s="130"/>
      <c r="EN8" s="130"/>
      <c r="EO8" s="130"/>
      <c r="EP8" s="130"/>
      <c r="EQ8" s="130"/>
      <c r="ER8" s="185"/>
      <c r="ES8" s="185"/>
      <c r="ET8" s="185"/>
      <c r="EU8" s="185"/>
      <c r="EV8" s="185"/>
      <c r="EW8" s="185">
        <v>3</v>
      </c>
      <c r="EX8" s="185"/>
      <c r="EY8" s="185"/>
      <c r="EZ8" s="185"/>
      <c r="FA8" s="185"/>
      <c r="FB8" s="185"/>
      <c r="FC8" s="185"/>
      <c r="FD8" s="185"/>
      <c r="FE8" s="225">
        <f>-1</f>
        <v>-1</v>
      </c>
      <c r="FF8" s="185"/>
      <c r="FG8" s="185"/>
      <c r="FH8" s="185"/>
      <c r="FI8" s="132">
        <f t="shared" si="14"/>
        <v>14</v>
      </c>
      <c r="FJ8" s="185">
        <v>0</v>
      </c>
      <c r="FK8" s="130">
        <f t="shared" si="15"/>
        <v>179</v>
      </c>
      <c r="FL8" s="130">
        <f t="shared" si="16"/>
        <v>2</v>
      </c>
      <c r="FM8" s="133">
        <f t="shared" si="17"/>
        <v>167</v>
      </c>
      <c r="FN8" s="134">
        <f t="shared" si="18"/>
        <v>14</v>
      </c>
      <c r="FO8" s="67"/>
      <c r="FP8" s="67"/>
    </row>
    <row r="9" spans="1:172" x14ac:dyDescent="0.25">
      <c r="A9" s="14">
        <v>6</v>
      </c>
      <c r="B9" s="2" t="s">
        <v>10</v>
      </c>
      <c r="C9" s="15"/>
      <c r="D9" s="183">
        <v>-1</v>
      </c>
      <c r="E9" s="150">
        <v>249</v>
      </c>
      <c r="F9" s="150">
        <v>-2</v>
      </c>
      <c r="G9" s="136">
        <v>-7</v>
      </c>
      <c r="H9" s="136">
        <v>-6</v>
      </c>
      <c r="I9" s="136">
        <v>-8</v>
      </c>
      <c r="J9" s="136"/>
      <c r="K9" s="136">
        <v>-4</v>
      </c>
      <c r="L9" s="136">
        <v>-2</v>
      </c>
      <c r="M9" s="136">
        <v>-2</v>
      </c>
      <c r="N9" s="136">
        <v>-5</v>
      </c>
      <c r="O9" s="136">
        <v>-4</v>
      </c>
      <c r="P9" s="136">
        <v>-2</v>
      </c>
      <c r="Q9" s="183">
        <v>-5</v>
      </c>
      <c r="R9" s="183">
        <v>-2</v>
      </c>
      <c r="S9" s="183">
        <v>-4</v>
      </c>
      <c r="T9" s="183">
        <v>-5</v>
      </c>
      <c r="U9" s="183">
        <v>-1</v>
      </c>
      <c r="V9" s="183"/>
      <c r="W9" s="183">
        <v>-2</v>
      </c>
      <c r="X9" s="131">
        <v>249</v>
      </c>
      <c r="Y9" s="131">
        <v>10</v>
      </c>
      <c r="Z9" s="130">
        <v>34</v>
      </c>
      <c r="AA9" s="130">
        <v>103</v>
      </c>
      <c r="AB9" s="130">
        <v>68</v>
      </c>
      <c r="AC9" s="130">
        <v>2</v>
      </c>
      <c r="AD9" s="130">
        <v>54</v>
      </c>
      <c r="AE9" s="130">
        <v>73</v>
      </c>
      <c r="AF9" s="130">
        <v>17</v>
      </c>
      <c r="AG9" s="130">
        <v>20</v>
      </c>
      <c r="AH9" s="185">
        <v>38</v>
      </c>
      <c r="AI9" s="185">
        <v>26</v>
      </c>
      <c r="AJ9" s="185">
        <v>229</v>
      </c>
      <c r="AK9" s="169">
        <f>39-1</f>
        <v>38</v>
      </c>
      <c r="AL9" s="185">
        <v>19</v>
      </c>
      <c r="AM9" s="185">
        <v>13</v>
      </c>
      <c r="AN9" s="169">
        <f>4-3</f>
        <v>1</v>
      </c>
      <c r="AO9" s="185">
        <v>9</v>
      </c>
      <c r="AP9" s="185">
        <v>22</v>
      </c>
      <c r="AQ9" s="185">
        <v>14</v>
      </c>
      <c r="AR9" s="169">
        <f>6-2</f>
        <v>4</v>
      </c>
      <c r="AS9" s="169">
        <f>10-1</f>
        <v>9</v>
      </c>
      <c r="AT9" s="185">
        <v>0</v>
      </c>
      <c r="AU9" s="169">
        <f>3-1</f>
        <v>2</v>
      </c>
      <c r="AV9" s="173">
        <f>2-2</f>
        <v>0</v>
      </c>
      <c r="AW9" s="173">
        <f>9-4</f>
        <v>5</v>
      </c>
      <c r="AX9" s="173">
        <f>54-6</f>
        <v>48</v>
      </c>
      <c r="AY9" s="154">
        <f t="shared" si="12"/>
        <v>1046</v>
      </c>
      <c r="AZ9" s="185">
        <v>8</v>
      </c>
      <c r="BA9" s="131">
        <v>1</v>
      </c>
      <c r="BB9" s="131"/>
      <c r="BC9" s="130"/>
      <c r="BD9" s="130">
        <v>-1</v>
      </c>
      <c r="BE9" s="130"/>
      <c r="BF9" s="130"/>
      <c r="BG9" s="130"/>
      <c r="BH9" s="130"/>
      <c r="BI9" s="130"/>
      <c r="BJ9" s="130"/>
      <c r="BK9" s="185"/>
      <c r="BL9" s="185"/>
      <c r="BM9" s="185">
        <v>2</v>
      </c>
      <c r="BN9" s="169">
        <v>1</v>
      </c>
      <c r="BO9" s="185"/>
      <c r="BP9" s="185"/>
      <c r="BQ9" s="185">
        <v>1</v>
      </c>
      <c r="BR9" s="185"/>
      <c r="BS9" s="185"/>
      <c r="BT9" s="185"/>
      <c r="BU9" s="185"/>
      <c r="BV9" s="185"/>
      <c r="BW9" s="185"/>
      <c r="BX9" s="185"/>
      <c r="BY9" s="184"/>
      <c r="BZ9" s="185">
        <v>1</v>
      </c>
      <c r="CA9" s="184">
        <v>1</v>
      </c>
      <c r="CB9" s="154">
        <f t="shared" si="13"/>
        <v>6</v>
      </c>
      <c r="CC9" s="185">
        <v>2</v>
      </c>
      <c r="CD9" s="130">
        <f t="shared" si="0"/>
        <v>1052</v>
      </c>
      <c r="CE9" s="130">
        <f t="shared" si="1"/>
        <v>10</v>
      </c>
      <c r="CF9" s="133">
        <f t="shared" si="2"/>
        <v>1053</v>
      </c>
      <c r="CG9" s="134">
        <f t="shared" si="3"/>
        <v>8</v>
      </c>
      <c r="CH9" s="14">
        <v>55</v>
      </c>
      <c r="CI9" s="2" t="s">
        <v>58</v>
      </c>
      <c r="CJ9" s="22"/>
      <c r="CK9" s="183"/>
      <c r="CL9" s="16">
        <v>78</v>
      </c>
      <c r="CM9" s="16"/>
      <c r="CN9" s="17"/>
      <c r="CO9" s="17">
        <v>-1</v>
      </c>
      <c r="CP9" s="17"/>
      <c r="CQ9" s="17"/>
      <c r="CR9" s="136"/>
      <c r="CS9" s="136"/>
      <c r="CT9" s="136"/>
      <c r="CU9" s="136">
        <v>-1</v>
      </c>
      <c r="CV9" s="136"/>
      <c r="CW9" s="136"/>
      <c r="CX9" s="183"/>
      <c r="CY9" s="183"/>
      <c r="CZ9" s="183"/>
      <c r="DA9" s="183"/>
      <c r="DB9" s="183"/>
      <c r="DC9" s="183"/>
      <c r="DD9" s="183"/>
      <c r="DE9" s="18">
        <v>78</v>
      </c>
      <c r="DF9" s="18"/>
      <c r="DG9" s="19">
        <v>4</v>
      </c>
      <c r="DH9" s="19">
        <v>5</v>
      </c>
      <c r="DI9" s="19">
        <v>1</v>
      </c>
      <c r="DJ9" s="19">
        <v>11</v>
      </c>
      <c r="DK9" s="130"/>
      <c r="DL9" s="130">
        <v>5</v>
      </c>
      <c r="DM9" s="130"/>
      <c r="DN9" s="130">
        <v>2</v>
      </c>
      <c r="DO9" s="185"/>
      <c r="DP9" s="185">
        <v>2</v>
      </c>
      <c r="DQ9" s="185"/>
      <c r="DR9" s="185">
        <v>9</v>
      </c>
      <c r="DS9" s="185">
        <v>5</v>
      </c>
      <c r="DT9" s="185"/>
      <c r="DU9" s="185"/>
      <c r="DV9" s="185">
        <v>4</v>
      </c>
      <c r="DW9" s="185">
        <v>8</v>
      </c>
      <c r="DX9" s="185">
        <v>2</v>
      </c>
      <c r="DY9" s="185"/>
      <c r="DZ9" s="169">
        <f>6-1</f>
        <v>5</v>
      </c>
      <c r="EA9" s="185"/>
      <c r="EB9" s="185">
        <v>1</v>
      </c>
      <c r="EC9" s="185">
        <v>1</v>
      </c>
      <c r="ED9" s="185"/>
      <c r="EE9" s="185">
        <v>0</v>
      </c>
      <c r="EF9" s="132">
        <f t="shared" si="19"/>
        <v>141</v>
      </c>
      <c r="EG9" s="185">
        <v>1</v>
      </c>
      <c r="EH9" s="131">
        <v>1</v>
      </c>
      <c r="EI9" s="131"/>
      <c r="EJ9" s="130"/>
      <c r="EK9" s="130"/>
      <c r="EL9" s="130"/>
      <c r="EM9" s="130"/>
      <c r="EN9" s="130"/>
      <c r="EO9" s="130"/>
      <c r="EP9" s="130"/>
      <c r="EQ9" s="130">
        <v>1</v>
      </c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32">
        <f t="shared" si="14"/>
        <v>2</v>
      </c>
      <c r="FJ9" s="185">
        <v>0</v>
      </c>
      <c r="FK9" s="130">
        <f t="shared" si="15"/>
        <v>143</v>
      </c>
      <c r="FL9" s="130">
        <f t="shared" si="16"/>
        <v>1</v>
      </c>
      <c r="FM9" s="133">
        <f t="shared" si="17"/>
        <v>142</v>
      </c>
      <c r="FN9" s="134">
        <f t="shared" si="18"/>
        <v>2</v>
      </c>
      <c r="FO9" s="67"/>
      <c r="FP9" s="67"/>
    </row>
    <row r="10" spans="1:172" x14ac:dyDescent="0.25">
      <c r="A10" s="14">
        <v>7</v>
      </c>
      <c r="B10" s="2" t="s">
        <v>11</v>
      </c>
      <c r="C10" s="15"/>
      <c r="D10" s="183">
        <v>-1</v>
      </c>
      <c r="E10" s="150">
        <v>79</v>
      </c>
      <c r="F10" s="150"/>
      <c r="G10" s="136">
        <v>-1</v>
      </c>
      <c r="H10" s="136"/>
      <c r="I10" s="136"/>
      <c r="J10" s="136"/>
      <c r="K10" s="136"/>
      <c r="L10" s="136"/>
      <c r="M10" s="136"/>
      <c r="N10" s="136"/>
      <c r="O10" s="136"/>
      <c r="P10" s="136">
        <v>-1</v>
      </c>
      <c r="Q10" s="183">
        <v>-5</v>
      </c>
      <c r="R10" s="183"/>
      <c r="S10" s="183">
        <v>-2</v>
      </c>
      <c r="T10" s="183"/>
      <c r="U10" s="183"/>
      <c r="V10" s="183"/>
      <c r="W10" s="183"/>
      <c r="X10" s="131">
        <v>84</v>
      </c>
      <c r="Y10" s="131">
        <v>13</v>
      </c>
      <c r="Z10" s="130">
        <v>1</v>
      </c>
      <c r="AA10" s="130">
        <v>1</v>
      </c>
      <c r="AB10" s="130">
        <v>2</v>
      </c>
      <c r="AC10" s="130">
        <v>12</v>
      </c>
      <c r="AD10" s="130">
        <v>7</v>
      </c>
      <c r="AE10" s="130">
        <v>4</v>
      </c>
      <c r="AF10" s="130">
        <v>2</v>
      </c>
      <c r="AG10" s="130">
        <v>2</v>
      </c>
      <c r="AH10" s="185">
        <v>3</v>
      </c>
      <c r="AI10" s="185">
        <v>2</v>
      </c>
      <c r="AJ10" s="185">
        <v>40</v>
      </c>
      <c r="AK10" s="185">
        <v>22</v>
      </c>
      <c r="AL10" s="185">
        <v>97</v>
      </c>
      <c r="AM10" s="185">
        <v>37</v>
      </c>
      <c r="AN10" s="169">
        <f>34-1</f>
        <v>33</v>
      </c>
      <c r="AO10" s="185">
        <v>1</v>
      </c>
      <c r="AP10" s="185">
        <v>12</v>
      </c>
      <c r="AQ10" s="185">
        <v>25</v>
      </c>
      <c r="AR10" s="184">
        <v>10</v>
      </c>
      <c r="AS10" s="184">
        <v>5</v>
      </c>
      <c r="AT10" s="185">
        <v>2</v>
      </c>
      <c r="AU10" s="169">
        <f>7-1</f>
        <v>6</v>
      </c>
      <c r="AV10" s="173">
        <f>2-5</f>
        <v>-3</v>
      </c>
      <c r="AW10" s="185">
        <v>1</v>
      </c>
      <c r="AX10" s="184">
        <v>0</v>
      </c>
      <c r="AY10" s="154">
        <f t="shared" si="12"/>
        <v>412</v>
      </c>
      <c r="AZ10" s="185">
        <v>2</v>
      </c>
      <c r="BA10" s="131">
        <v>2</v>
      </c>
      <c r="BB10" s="131">
        <v>1</v>
      </c>
      <c r="BC10" s="130"/>
      <c r="BD10" s="130">
        <v>-1</v>
      </c>
      <c r="BE10" s="130"/>
      <c r="BF10" s="130"/>
      <c r="BG10" s="130"/>
      <c r="BH10" s="130"/>
      <c r="BI10" s="130"/>
      <c r="BJ10" s="130"/>
      <c r="BK10" s="185"/>
      <c r="BL10" s="185"/>
      <c r="BM10" s="185">
        <v>2</v>
      </c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4"/>
      <c r="BZ10" s="185"/>
      <c r="CA10" s="184">
        <v>0</v>
      </c>
      <c r="CB10" s="154">
        <f t="shared" si="13"/>
        <v>4</v>
      </c>
      <c r="CC10" s="185">
        <v>0</v>
      </c>
      <c r="CD10" s="130">
        <f t="shared" si="0"/>
        <v>416</v>
      </c>
      <c r="CE10" s="130">
        <f t="shared" si="1"/>
        <v>2</v>
      </c>
      <c r="CF10" s="133">
        <f t="shared" si="2"/>
        <v>413</v>
      </c>
      <c r="CG10" s="134">
        <f t="shared" si="3"/>
        <v>4</v>
      </c>
      <c r="CH10" s="14">
        <v>56</v>
      </c>
      <c r="CI10" s="2" t="s">
        <v>59</v>
      </c>
      <c r="CJ10" s="22"/>
      <c r="CK10" s="183">
        <v>-1</v>
      </c>
      <c r="CL10" s="16">
        <v>138</v>
      </c>
      <c r="CM10" s="16">
        <v>-1</v>
      </c>
      <c r="CN10" s="17">
        <v>-1</v>
      </c>
      <c r="CO10" s="17"/>
      <c r="CP10" s="17"/>
      <c r="CQ10" s="17">
        <v>-1</v>
      </c>
      <c r="CR10" s="136">
        <v>-13</v>
      </c>
      <c r="CS10" s="136">
        <v>-2</v>
      </c>
      <c r="CT10" s="136"/>
      <c r="CU10" s="136"/>
      <c r="CV10" s="136">
        <v>-2</v>
      </c>
      <c r="CW10" s="136">
        <v>-1</v>
      </c>
      <c r="CX10" s="183">
        <v>-2</v>
      </c>
      <c r="CY10" s="183"/>
      <c r="CZ10" s="183"/>
      <c r="DA10" s="183">
        <v>-1</v>
      </c>
      <c r="DB10" s="183"/>
      <c r="DC10" s="183"/>
      <c r="DD10" s="183">
        <v>-1</v>
      </c>
      <c r="DE10" s="18">
        <v>144</v>
      </c>
      <c r="DF10" s="18">
        <v>4</v>
      </c>
      <c r="DG10" s="19">
        <v>15</v>
      </c>
      <c r="DH10" s="19">
        <v>9</v>
      </c>
      <c r="DI10" s="19">
        <v>15</v>
      </c>
      <c r="DJ10" s="19">
        <f>27-13</f>
        <v>14</v>
      </c>
      <c r="DK10" s="130">
        <f>40-7</f>
        <v>33</v>
      </c>
      <c r="DL10" s="130">
        <v>88</v>
      </c>
      <c r="DM10" s="130">
        <v>8</v>
      </c>
      <c r="DN10" s="130">
        <v>6</v>
      </c>
      <c r="DO10" s="185">
        <v>13</v>
      </c>
      <c r="DP10" s="185">
        <v>32</v>
      </c>
      <c r="DQ10" s="185">
        <v>11</v>
      </c>
      <c r="DR10" s="185">
        <v>8</v>
      </c>
      <c r="DS10" s="185">
        <v>8</v>
      </c>
      <c r="DT10" s="185">
        <v>13</v>
      </c>
      <c r="DU10" s="185">
        <v>3</v>
      </c>
      <c r="DV10" s="185"/>
      <c r="DW10" s="185">
        <v>4</v>
      </c>
      <c r="DX10" s="185">
        <v>7</v>
      </c>
      <c r="DY10" s="227">
        <f>1-1</f>
        <v>0</v>
      </c>
      <c r="DZ10" s="227">
        <f>12-7+1</f>
        <v>6</v>
      </c>
      <c r="EA10" s="169">
        <f>2-2</f>
        <v>0</v>
      </c>
      <c r="EB10" s="227">
        <f>9-2+1-1+2</f>
        <v>9</v>
      </c>
      <c r="EC10" s="227">
        <v>3</v>
      </c>
      <c r="ED10" s="169">
        <f>6-1</f>
        <v>5</v>
      </c>
      <c r="EE10" s="130">
        <v>4</v>
      </c>
      <c r="EF10" s="132">
        <f t="shared" si="19"/>
        <v>437</v>
      </c>
      <c r="EG10" s="185">
        <v>6</v>
      </c>
      <c r="EH10" s="131">
        <v>3</v>
      </c>
      <c r="EI10" s="131"/>
      <c r="EJ10" s="130"/>
      <c r="EK10" s="130">
        <v>-1</v>
      </c>
      <c r="EL10" s="130"/>
      <c r="EM10" s="130">
        <v>13</v>
      </c>
      <c r="EN10" s="130">
        <f>9+7</f>
        <v>16</v>
      </c>
      <c r="EO10" s="130">
        <v>39</v>
      </c>
      <c r="EP10" s="130">
        <v>5</v>
      </c>
      <c r="EQ10" s="130">
        <v>1</v>
      </c>
      <c r="ER10" s="185">
        <v>1</v>
      </c>
      <c r="ES10" s="185">
        <v>7</v>
      </c>
      <c r="ET10" s="185">
        <v>4</v>
      </c>
      <c r="EU10" s="185"/>
      <c r="EV10" s="185"/>
      <c r="EW10" s="185">
        <v>10</v>
      </c>
      <c r="EX10" s="185"/>
      <c r="EY10" s="185">
        <v>2</v>
      </c>
      <c r="EZ10" s="185">
        <v>3</v>
      </c>
      <c r="FA10" s="185"/>
      <c r="FB10" s="227">
        <v>1</v>
      </c>
      <c r="FC10" s="227">
        <f>7-1</f>
        <v>6</v>
      </c>
      <c r="FD10" s="185">
        <v>1</v>
      </c>
      <c r="FE10" s="225">
        <f>-1-1</f>
        <v>-2</v>
      </c>
      <c r="FF10" s="185"/>
      <c r="FG10" s="185">
        <v>1</v>
      </c>
      <c r="FH10" s="185"/>
      <c r="FI10" s="132">
        <f t="shared" si="14"/>
        <v>110</v>
      </c>
      <c r="FJ10" s="185">
        <v>3</v>
      </c>
      <c r="FK10" s="130">
        <f t="shared" si="15"/>
        <v>547</v>
      </c>
      <c r="FL10" s="130">
        <f t="shared" si="16"/>
        <v>9</v>
      </c>
      <c r="FM10" s="133">
        <f t="shared" si="17"/>
        <v>442</v>
      </c>
      <c r="FN10" s="134">
        <f t="shared" si="18"/>
        <v>113</v>
      </c>
      <c r="FO10" s="67"/>
      <c r="FP10" s="67"/>
    </row>
    <row r="11" spans="1:172" x14ac:dyDescent="0.25">
      <c r="A11" s="14">
        <v>8</v>
      </c>
      <c r="B11" s="2" t="s">
        <v>12</v>
      </c>
      <c r="C11" s="15"/>
      <c r="D11" s="183"/>
      <c r="E11" s="150">
        <v>131</v>
      </c>
      <c r="F11" s="150"/>
      <c r="G11" s="136"/>
      <c r="H11" s="136">
        <v>-2</v>
      </c>
      <c r="I11" s="136"/>
      <c r="J11" s="136"/>
      <c r="K11" s="136"/>
      <c r="L11" s="136"/>
      <c r="M11" s="136"/>
      <c r="N11" s="136"/>
      <c r="O11" s="136"/>
      <c r="P11" s="136"/>
      <c r="Q11" s="183"/>
      <c r="R11" s="183"/>
      <c r="S11" s="183"/>
      <c r="T11" s="183"/>
      <c r="U11" s="183">
        <v>-2</v>
      </c>
      <c r="V11" s="183"/>
      <c r="W11" s="183"/>
      <c r="X11" s="131">
        <v>113</v>
      </c>
      <c r="Y11" s="131"/>
      <c r="Z11" s="130"/>
      <c r="AA11" s="130">
        <v>28</v>
      </c>
      <c r="AB11" s="130">
        <v>5</v>
      </c>
      <c r="AC11" s="169">
        <f>4-2</f>
        <v>2</v>
      </c>
      <c r="AD11" s="130"/>
      <c r="AE11" s="130">
        <v>1</v>
      </c>
      <c r="AF11" s="130"/>
      <c r="AG11" s="130">
        <v>5</v>
      </c>
      <c r="AH11" s="185">
        <v>1</v>
      </c>
      <c r="AI11" s="185">
        <v>2</v>
      </c>
      <c r="AJ11" s="185">
        <v>11</v>
      </c>
      <c r="AK11" s="185"/>
      <c r="AL11" s="185"/>
      <c r="AM11" s="185"/>
      <c r="AN11" s="169">
        <f>25-4</f>
        <v>21</v>
      </c>
      <c r="AO11" s="185">
        <v>4</v>
      </c>
      <c r="AP11" s="185">
        <v>2</v>
      </c>
      <c r="AQ11" s="185">
        <v>1</v>
      </c>
      <c r="AR11" s="184">
        <v>0</v>
      </c>
      <c r="AS11" s="184">
        <v>2</v>
      </c>
      <c r="AT11" s="185">
        <v>0</v>
      </c>
      <c r="AU11" s="169">
        <f>5-1</f>
        <v>4</v>
      </c>
      <c r="AV11" s="184">
        <v>1</v>
      </c>
      <c r="AW11" s="185">
        <v>0</v>
      </c>
      <c r="AX11" s="184">
        <v>1</v>
      </c>
      <c r="AY11" s="154">
        <f t="shared" si="12"/>
        <v>200</v>
      </c>
      <c r="AZ11" s="185">
        <v>1</v>
      </c>
      <c r="BA11" s="131">
        <v>23</v>
      </c>
      <c r="BB11" s="131">
        <v>1</v>
      </c>
      <c r="BC11" s="130"/>
      <c r="BD11" s="130">
        <v>-11</v>
      </c>
      <c r="BE11" s="130"/>
      <c r="BF11" s="169">
        <v>2</v>
      </c>
      <c r="BG11" s="130"/>
      <c r="BH11" s="130"/>
      <c r="BI11" s="130"/>
      <c r="BJ11" s="130"/>
      <c r="BK11" s="185"/>
      <c r="BL11" s="185"/>
      <c r="BM11" s="185"/>
      <c r="BN11" s="185"/>
      <c r="BO11" s="185"/>
      <c r="BP11" s="185"/>
      <c r="BQ11" s="185"/>
      <c r="BR11" s="185">
        <v>1</v>
      </c>
      <c r="BS11" s="185"/>
      <c r="BT11" s="185"/>
      <c r="BU11" s="185"/>
      <c r="BV11" s="185"/>
      <c r="BW11" s="185"/>
      <c r="BX11" s="185"/>
      <c r="BY11" s="184"/>
      <c r="BZ11" s="185"/>
      <c r="CA11" s="184">
        <v>0</v>
      </c>
      <c r="CB11" s="154">
        <f t="shared" si="13"/>
        <v>16</v>
      </c>
      <c r="CC11" s="185">
        <v>0</v>
      </c>
      <c r="CD11" s="130">
        <f t="shared" si="0"/>
        <v>216</v>
      </c>
      <c r="CE11" s="130">
        <f t="shared" si="1"/>
        <v>1</v>
      </c>
      <c r="CF11" s="133">
        <f t="shared" si="2"/>
        <v>201</v>
      </c>
      <c r="CG11" s="134">
        <f t="shared" si="3"/>
        <v>16</v>
      </c>
      <c r="CH11" s="14">
        <v>57</v>
      </c>
      <c r="CI11" s="2" t="s">
        <v>60</v>
      </c>
      <c r="CJ11" s="22"/>
      <c r="CK11" s="183"/>
      <c r="CL11" s="16">
        <v>36</v>
      </c>
      <c r="CM11" s="16"/>
      <c r="CN11" s="17"/>
      <c r="CO11" s="17"/>
      <c r="CP11" s="17">
        <v>-1</v>
      </c>
      <c r="CQ11" s="17"/>
      <c r="CR11" s="136"/>
      <c r="CS11" s="136"/>
      <c r="CT11" s="136">
        <v>-2</v>
      </c>
      <c r="CU11" s="136"/>
      <c r="CV11" s="136"/>
      <c r="CW11" s="136">
        <v>-1</v>
      </c>
      <c r="CX11" s="183"/>
      <c r="CY11" s="183">
        <v>-2</v>
      </c>
      <c r="CZ11" s="183">
        <v>-1</v>
      </c>
      <c r="DA11" s="183"/>
      <c r="DB11" s="183"/>
      <c r="DC11" s="183"/>
      <c r="DD11" s="183"/>
      <c r="DE11" s="18">
        <v>40</v>
      </c>
      <c r="DF11" s="18"/>
      <c r="DG11" s="19"/>
      <c r="DH11" s="19"/>
      <c r="DI11" s="19">
        <v>6</v>
      </c>
      <c r="DJ11" s="19">
        <v>2</v>
      </c>
      <c r="DK11" s="130">
        <v>3</v>
      </c>
      <c r="DL11" s="130"/>
      <c r="DM11" s="130">
        <v>5</v>
      </c>
      <c r="DN11" s="130"/>
      <c r="DO11" s="185"/>
      <c r="DP11" s="185">
        <v>1</v>
      </c>
      <c r="DQ11" s="185"/>
      <c r="DR11" s="185">
        <v>3</v>
      </c>
      <c r="DS11" s="185">
        <v>1</v>
      </c>
      <c r="DT11" s="185"/>
      <c r="DU11" s="185"/>
      <c r="DV11" s="185"/>
      <c r="DW11" s="185">
        <v>3</v>
      </c>
      <c r="DX11" s="185"/>
      <c r="DY11" s="185"/>
      <c r="DZ11" s="185">
        <v>1</v>
      </c>
      <c r="EA11" s="185"/>
      <c r="EB11" s="185">
        <v>1</v>
      </c>
      <c r="EC11" s="185"/>
      <c r="ED11" s="185">
        <v>2</v>
      </c>
      <c r="EE11" s="185">
        <v>0</v>
      </c>
      <c r="EF11" s="132">
        <f t="shared" si="19"/>
        <v>61</v>
      </c>
      <c r="EG11" s="185">
        <v>0</v>
      </c>
      <c r="EH11" s="131">
        <v>3</v>
      </c>
      <c r="EI11" s="131"/>
      <c r="EJ11" s="130"/>
      <c r="EK11" s="130"/>
      <c r="EL11" s="130"/>
      <c r="EM11" s="130"/>
      <c r="EN11" s="130"/>
      <c r="EO11" s="130"/>
      <c r="EP11" s="130"/>
      <c r="EQ11" s="130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32">
        <f t="shared" si="14"/>
        <v>3</v>
      </c>
      <c r="FJ11" s="185">
        <v>0</v>
      </c>
      <c r="FK11" s="130">
        <f t="shared" si="15"/>
        <v>64</v>
      </c>
      <c r="FL11" s="130">
        <f t="shared" si="16"/>
        <v>0</v>
      </c>
      <c r="FM11" s="133">
        <f t="shared" si="17"/>
        <v>61</v>
      </c>
      <c r="FN11" s="134">
        <f t="shared" si="18"/>
        <v>3</v>
      </c>
      <c r="FO11" s="67"/>
      <c r="FP11" s="67"/>
    </row>
    <row r="12" spans="1:172" x14ac:dyDescent="0.25">
      <c r="A12" s="14">
        <v>9</v>
      </c>
      <c r="B12" s="2" t="s">
        <v>13</v>
      </c>
      <c r="C12" s="15"/>
      <c r="D12" s="183">
        <v>-1</v>
      </c>
      <c r="E12" s="150">
        <v>34</v>
      </c>
      <c r="F12" s="150"/>
      <c r="G12" s="136"/>
      <c r="H12" s="136"/>
      <c r="I12" s="136"/>
      <c r="J12" s="136">
        <v>-4</v>
      </c>
      <c r="K12" s="136">
        <v>-1</v>
      </c>
      <c r="L12" s="136"/>
      <c r="M12" s="136"/>
      <c r="N12" s="136"/>
      <c r="O12" s="136">
        <v>-1</v>
      </c>
      <c r="P12" s="136"/>
      <c r="Q12" s="183"/>
      <c r="R12" s="183"/>
      <c r="S12" s="183"/>
      <c r="T12" s="183"/>
      <c r="U12" s="183"/>
      <c r="V12" s="183"/>
      <c r="W12" s="183"/>
      <c r="X12" s="131">
        <v>39</v>
      </c>
      <c r="Y12" s="131">
        <v>5</v>
      </c>
      <c r="Z12" s="130">
        <v>4</v>
      </c>
      <c r="AA12" s="130">
        <v>1</v>
      </c>
      <c r="AB12" s="130">
        <v>1</v>
      </c>
      <c r="AC12" s="130">
        <v>50</v>
      </c>
      <c r="AD12" s="130">
        <v>52</v>
      </c>
      <c r="AE12" s="130">
        <v>8</v>
      </c>
      <c r="AF12" s="130">
        <v>6</v>
      </c>
      <c r="AG12" s="130">
        <v>1</v>
      </c>
      <c r="AH12" s="185">
        <v>5</v>
      </c>
      <c r="AI12" s="185">
        <v>2</v>
      </c>
      <c r="AJ12" s="185"/>
      <c r="AK12" s="185">
        <v>2</v>
      </c>
      <c r="AL12" s="185">
        <v>1</v>
      </c>
      <c r="AM12" s="185">
        <v>3</v>
      </c>
      <c r="AN12" s="184">
        <v>1</v>
      </c>
      <c r="AO12" s="185"/>
      <c r="AP12" s="185">
        <v>1</v>
      </c>
      <c r="AQ12" s="185">
        <v>1</v>
      </c>
      <c r="AR12" s="184">
        <v>1</v>
      </c>
      <c r="AS12" s="169">
        <f>5-2</f>
        <v>3</v>
      </c>
      <c r="AT12" s="185">
        <v>4</v>
      </c>
      <c r="AU12" s="169">
        <f>4-1</f>
        <v>3</v>
      </c>
      <c r="AV12" s="184">
        <v>1</v>
      </c>
      <c r="AW12" s="185">
        <v>1</v>
      </c>
      <c r="AX12" s="173">
        <f>20-1</f>
        <v>19</v>
      </c>
      <c r="AY12" s="154">
        <f t="shared" si="12"/>
        <v>209</v>
      </c>
      <c r="AZ12" s="185">
        <v>6</v>
      </c>
      <c r="BA12" s="131"/>
      <c r="BB12" s="131"/>
      <c r="BC12" s="130"/>
      <c r="BD12" s="130"/>
      <c r="BE12" s="130"/>
      <c r="BF12" s="130"/>
      <c r="BG12" s="130"/>
      <c r="BH12" s="130"/>
      <c r="BI12" s="130"/>
      <c r="BJ12" s="130">
        <v>1</v>
      </c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4"/>
      <c r="BZ12" s="185"/>
      <c r="CA12" s="184">
        <v>0</v>
      </c>
      <c r="CB12" s="154">
        <f t="shared" si="13"/>
        <v>1</v>
      </c>
      <c r="CC12" s="185">
        <v>0</v>
      </c>
      <c r="CD12" s="130">
        <f t="shared" si="0"/>
        <v>210</v>
      </c>
      <c r="CE12" s="130">
        <f t="shared" si="1"/>
        <v>6</v>
      </c>
      <c r="CF12" s="133">
        <f t="shared" si="2"/>
        <v>214</v>
      </c>
      <c r="CG12" s="134">
        <f t="shared" si="3"/>
        <v>1</v>
      </c>
      <c r="CH12" s="14">
        <v>58</v>
      </c>
      <c r="CI12" s="2" t="s">
        <v>61</v>
      </c>
      <c r="CJ12" s="22"/>
      <c r="CK12" s="183"/>
      <c r="CL12" s="16">
        <v>41</v>
      </c>
      <c r="CM12" s="16"/>
      <c r="CN12" s="17"/>
      <c r="CO12" s="17"/>
      <c r="CP12" s="17"/>
      <c r="CQ12" s="17"/>
      <c r="CR12" s="136"/>
      <c r="CS12" s="136">
        <v>-1</v>
      </c>
      <c r="CT12" s="136">
        <v>-1</v>
      </c>
      <c r="CU12" s="136"/>
      <c r="CV12" s="136">
        <v>-2</v>
      </c>
      <c r="CW12" s="136"/>
      <c r="CX12" s="183"/>
      <c r="CY12" s="183"/>
      <c r="CZ12" s="183"/>
      <c r="DA12" s="183"/>
      <c r="DB12" s="183"/>
      <c r="DC12" s="183"/>
      <c r="DD12" s="183"/>
      <c r="DE12" s="18">
        <v>42</v>
      </c>
      <c r="DF12" s="18">
        <v>1</v>
      </c>
      <c r="DG12" s="19">
        <v>1</v>
      </c>
      <c r="DH12" s="19">
        <v>1</v>
      </c>
      <c r="DI12" s="19">
        <v>16</v>
      </c>
      <c r="DJ12" s="19">
        <v>7</v>
      </c>
      <c r="DK12" s="130"/>
      <c r="DL12" s="130">
        <v>3</v>
      </c>
      <c r="DM12" s="130"/>
      <c r="DN12" s="130">
        <v>3</v>
      </c>
      <c r="DO12" s="185">
        <v>1</v>
      </c>
      <c r="DP12" s="185">
        <v>1</v>
      </c>
      <c r="DQ12" s="185">
        <v>4</v>
      </c>
      <c r="DR12" s="185">
        <v>2</v>
      </c>
      <c r="DS12" s="185">
        <v>2</v>
      </c>
      <c r="DT12" s="185">
        <v>1</v>
      </c>
      <c r="DU12" s="185">
        <v>1</v>
      </c>
      <c r="DV12" s="185"/>
      <c r="DW12" s="185">
        <v>1</v>
      </c>
      <c r="DX12" s="185">
        <v>3</v>
      </c>
      <c r="DY12" s="185">
        <v>4</v>
      </c>
      <c r="DZ12" s="227">
        <f>3+10</f>
        <v>13</v>
      </c>
      <c r="EA12" s="185">
        <v>2</v>
      </c>
      <c r="EB12" s="185">
        <v>15</v>
      </c>
      <c r="EC12" s="185">
        <v>1</v>
      </c>
      <c r="ED12" s="185">
        <v>1</v>
      </c>
      <c r="EE12" s="185">
        <v>1</v>
      </c>
      <c r="EF12" s="132">
        <f t="shared" si="19"/>
        <v>123</v>
      </c>
      <c r="EG12" s="185">
        <v>2</v>
      </c>
      <c r="EH12" s="131">
        <v>1</v>
      </c>
      <c r="EI12" s="131"/>
      <c r="EJ12" s="130"/>
      <c r="EK12" s="130"/>
      <c r="EL12" s="130">
        <v>10</v>
      </c>
      <c r="EM12" s="130"/>
      <c r="EN12" s="130"/>
      <c r="EO12" s="130"/>
      <c r="EP12" s="130"/>
      <c r="EQ12" s="130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227">
        <f>0-10</f>
        <v>-10</v>
      </c>
      <c r="FD12" s="185"/>
      <c r="FE12" s="185"/>
      <c r="FF12" s="185"/>
      <c r="FG12" s="185"/>
      <c r="FH12" s="185"/>
      <c r="FI12" s="132">
        <f t="shared" si="14"/>
        <v>1</v>
      </c>
      <c r="FJ12" s="185">
        <v>0</v>
      </c>
      <c r="FK12" s="130">
        <f t="shared" si="15"/>
        <v>124</v>
      </c>
      <c r="FL12" s="130">
        <f t="shared" si="16"/>
        <v>2</v>
      </c>
      <c r="FM12" s="133">
        <f t="shared" si="17"/>
        <v>125</v>
      </c>
      <c r="FN12" s="134">
        <f t="shared" si="18"/>
        <v>1</v>
      </c>
      <c r="FO12" s="67"/>
      <c r="FP12" s="67"/>
    </row>
    <row r="13" spans="1:172" x14ac:dyDescent="0.25">
      <c r="A13" s="14">
        <v>10</v>
      </c>
      <c r="B13" s="2" t="s">
        <v>14</v>
      </c>
      <c r="C13" s="15"/>
      <c r="D13" s="183"/>
      <c r="E13" s="150">
        <v>148</v>
      </c>
      <c r="F13" s="150"/>
      <c r="G13" s="136"/>
      <c r="H13" s="136">
        <v>-2</v>
      </c>
      <c r="I13" s="136">
        <v>-1</v>
      </c>
      <c r="J13" s="136"/>
      <c r="K13" s="136"/>
      <c r="L13" s="136">
        <v>-12</v>
      </c>
      <c r="M13" s="136">
        <v>-3</v>
      </c>
      <c r="N13" s="136"/>
      <c r="O13" s="136"/>
      <c r="P13" s="136"/>
      <c r="Q13" s="183"/>
      <c r="R13" s="183">
        <v>-1</v>
      </c>
      <c r="S13" s="183"/>
      <c r="T13" s="183">
        <v>-1</v>
      </c>
      <c r="U13" s="183">
        <v>-1</v>
      </c>
      <c r="V13" s="183">
        <v>-1</v>
      </c>
      <c r="W13" s="183"/>
      <c r="X13" s="131">
        <v>151</v>
      </c>
      <c r="Y13" s="131">
        <v>3</v>
      </c>
      <c r="Z13" s="130">
        <v>1</v>
      </c>
      <c r="AA13" s="130">
        <v>15</v>
      </c>
      <c r="AB13" s="130">
        <v>6</v>
      </c>
      <c r="AC13" s="130">
        <v>7</v>
      </c>
      <c r="AD13" s="130">
        <v>12</v>
      </c>
      <c r="AE13" s="130">
        <v>39</v>
      </c>
      <c r="AF13" s="130">
        <v>14</v>
      </c>
      <c r="AG13" s="130">
        <v>11</v>
      </c>
      <c r="AH13" s="185">
        <v>13</v>
      </c>
      <c r="AI13" s="185">
        <v>2</v>
      </c>
      <c r="AJ13" s="185">
        <v>2</v>
      </c>
      <c r="AK13" s="185">
        <v>6</v>
      </c>
      <c r="AL13" s="185">
        <v>1</v>
      </c>
      <c r="AM13" s="185">
        <v>5</v>
      </c>
      <c r="AN13" s="184">
        <v>1</v>
      </c>
      <c r="AO13" s="185">
        <v>3</v>
      </c>
      <c r="AP13" s="185">
        <v>1</v>
      </c>
      <c r="AQ13" s="185"/>
      <c r="AR13" s="184">
        <v>0</v>
      </c>
      <c r="AS13" s="169">
        <f>1-1+1</f>
        <v>1</v>
      </c>
      <c r="AT13" s="169">
        <f>3-2</f>
        <v>1</v>
      </c>
      <c r="AU13" s="169">
        <f>2-2</f>
        <v>0</v>
      </c>
      <c r="AV13" s="173">
        <f>4-2</f>
        <v>2</v>
      </c>
      <c r="AW13" s="173">
        <f>9-4</f>
        <v>5</v>
      </c>
      <c r="AX13" s="173">
        <f>4-2</f>
        <v>2</v>
      </c>
      <c r="AY13" s="154">
        <f t="shared" si="12"/>
        <v>282</v>
      </c>
      <c r="AZ13" s="185">
        <v>2</v>
      </c>
      <c r="BA13" s="131"/>
      <c r="BB13" s="131"/>
      <c r="BC13" s="130"/>
      <c r="BD13" s="130"/>
      <c r="BE13" s="130"/>
      <c r="BF13" s="130"/>
      <c r="BG13" s="130"/>
      <c r="BH13" s="130"/>
      <c r="BI13" s="130">
        <v>1</v>
      </c>
      <c r="BJ13" s="130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229">
        <f>0+1</f>
        <v>1</v>
      </c>
      <c r="BX13" s="185"/>
      <c r="BY13" s="184"/>
      <c r="BZ13" s="185"/>
      <c r="CA13" s="184">
        <v>0</v>
      </c>
      <c r="CB13" s="154">
        <f t="shared" si="13"/>
        <v>2</v>
      </c>
      <c r="CC13" s="185">
        <v>0</v>
      </c>
      <c r="CD13" s="130">
        <f t="shared" si="0"/>
        <v>284</v>
      </c>
      <c r="CE13" s="130">
        <f t="shared" si="1"/>
        <v>2</v>
      </c>
      <c r="CF13" s="133">
        <f t="shared" si="2"/>
        <v>284</v>
      </c>
      <c r="CG13" s="134">
        <f t="shared" si="3"/>
        <v>2</v>
      </c>
      <c r="CH13" s="14">
        <v>59</v>
      </c>
      <c r="CI13" s="2" t="s">
        <v>62</v>
      </c>
      <c r="CJ13" s="22"/>
      <c r="CK13" s="183"/>
      <c r="CL13" s="16">
        <v>29</v>
      </c>
      <c r="CM13" s="16"/>
      <c r="CN13" s="17"/>
      <c r="CO13" s="17"/>
      <c r="CP13" s="17"/>
      <c r="CQ13" s="17"/>
      <c r="CR13" s="136"/>
      <c r="CS13" s="136"/>
      <c r="CT13" s="136"/>
      <c r="CU13" s="136"/>
      <c r="CV13" s="136"/>
      <c r="CW13" s="136"/>
      <c r="CX13" s="183"/>
      <c r="CY13" s="183"/>
      <c r="CZ13" s="183"/>
      <c r="DA13" s="183"/>
      <c r="DB13" s="183"/>
      <c r="DC13" s="183">
        <v>-1</v>
      </c>
      <c r="DD13" s="183">
        <v>-2</v>
      </c>
      <c r="DE13" s="18">
        <v>28</v>
      </c>
      <c r="DF13" s="18">
        <v>1</v>
      </c>
      <c r="DG13" s="19">
        <v>-1</v>
      </c>
      <c r="DH13" s="19">
        <v>5</v>
      </c>
      <c r="DI13" s="19">
        <v>9</v>
      </c>
      <c r="DJ13" s="19">
        <v>8</v>
      </c>
      <c r="DK13" s="130">
        <v>1</v>
      </c>
      <c r="DL13" s="130">
        <v>2</v>
      </c>
      <c r="DM13" s="130">
        <v>3</v>
      </c>
      <c r="DN13" s="130">
        <v>2</v>
      </c>
      <c r="DO13" s="185">
        <v>3</v>
      </c>
      <c r="DP13" s="185">
        <v>2</v>
      </c>
      <c r="DQ13" s="185"/>
      <c r="DR13" s="185">
        <v>1</v>
      </c>
      <c r="DS13" s="185">
        <v>1</v>
      </c>
      <c r="DT13" s="185"/>
      <c r="DU13" s="185"/>
      <c r="DV13" s="185">
        <v>2</v>
      </c>
      <c r="DW13" s="185">
        <v>8</v>
      </c>
      <c r="DX13" s="185">
        <v>2</v>
      </c>
      <c r="DY13" s="185">
        <v>3</v>
      </c>
      <c r="DZ13" s="185">
        <v>1</v>
      </c>
      <c r="EA13" s="169">
        <f>2-1</f>
        <v>1</v>
      </c>
      <c r="EB13" s="185">
        <v>2</v>
      </c>
      <c r="EC13" s="185">
        <v>1</v>
      </c>
      <c r="ED13" s="185"/>
      <c r="EE13" s="185">
        <v>1</v>
      </c>
      <c r="EF13" s="132">
        <f t="shared" si="19"/>
        <v>83</v>
      </c>
      <c r="EG13" s="185">
        <v>0</v>
      </c>
      <c r="EH13" s="131">
        <v>2</v>
      </c>
      <c r="EI13" s="131"/>
      <c r="EJ13" s="130">
        <v>1</v>
      </c>
      <c r="EK13" s="130">
        <v>-1</v>
      </c>
      <c r="EL13" s="130"/>
      <c r="EM13" s="130"/>
      <c r="EN13" s="130"/>
      <c r="EO13" s="130"/>
      <c r="EP13" s="130"/>
      <c r="EQ13" s="130"/>
      <c r="ER13" s="185"/>
      <c r="ES13" s="185"/>
      <c r="ET13" s="185"/>
      <c r="EU13" s="185"/>
      <c r="EV13" s="185"/>
      <c r="EW13" s="185"/>
      <c r="EX13" s="185"/>
      <c r="EY13" s="185">
        <v>1</v>
      </c>
      <c r="EZ13" s="185"/>
      <c r="FA13" s="185">
        <v>1</v>
      </c>
      <c r="FB13" s="185"/>
      <c r="FC13" s="185"/>
      <c r="FD13" s="185"/>
      <c r="FE13" s="185"/>
      <c r="FF13" s="185"/>
      <c r="FG13" s="185">
        <v>1</v>
      </c>
      <c r="FH13" s="185"/>
      <c r="FI13" s="132">
        <f t="shared" si="14"/>
        <v>5</v>
      </c>
      <c r="FJ13" s="185">
        <v>0</v>
      </c>
      <c r="FK13" s="130">
        <f t="shared" si="15"/>
        <v>88</v>
      </c>
      <c r="FL13" s="130">
        <f t="shared" si="16"/>
        <v>0</v>
      </c>
      <c r="FM13" s="133">
        <f t="shared" si="17"/>
        <v>83</v>
      </c>
      <c r="FN13" s="134">
        <f t="shared" si="18"/>
        <v>5</v>
      </c>
      <c r="FO13" s="67"/>
      <c r="FP13" s="67"/>
    </row>
    <row r="14" spans="1:172" x14ac:dyDescent="0.25">
      <c r="A14" s="14">
        <v>11</v>
      </c>
      <c r="B14" s="2" t="s">
        <v>15</v>
      </c>
      <c r="C14" s="15"/>
      <c r="D14" s="183"/>
      <c r="E14" s="150">
        <v>73</v>
      </c>
      <c r="F14" s="150"/>
      <c r="G14" s="136"/>
      <c r="H14" s="136"/>
      <c r="I14" s="136"/>
      <c r="J14" s="136"/>
      <c r="K14" s="136">
        <v>-1</v>
      </c>
      <c r="L14" s="136"/>
      <c r="M14" s="136"/>
      <c r="N14" s="136">
        <v>-1</v>
      </c>
      <c r="O14" s="136"/>
      <c r="P14" s="136"/>
      <c r="Q14" s="183"/>
      <c r="R14" s="183">
        <v>-4</v>
      </c>
      <c r="S14" s="183"/>
      <c r="T14" s="183"/>
      <c r="U14" s="183"/>
      <c r="V14" s="183"/>
      <c r="W14" s="183"/>
      <c r="X14" s="131">
        <v>93</v>
      </c>
      <c r="Y14" s="131">
        <v>1</v>
      </c>
      <c r="Z14" s="130"/>
      <c r="AA14" s="130">
        <v>3</v>
      </c>
      <c r="AB14" s="130">
        <v>2</v>
      </c>
      <c r="AC14" s="130">
        <v>1</v>
      </c>
      <c r="AD14" s="130">
        <v>37</v>
      </c>
      <c r="AE14" s="130">
        <v>1</v>
      </c>
      <c r="AF14" s="130">
        <v>13</v>
      </c>
      <c r="AG14" s="130">
        <v>15</v>
      </c>
      <c r="AH14" s="185">
        <v>8</v>
      </c>
      <c r="AI14" s="185">
        <v>1</v>
      </c>
      <c r="AJ14" s="185">
        <v>8</v>
      </c>
      <c r="AK14" s="185">
        <v>10</v>
      </c>
      <c r="AL14" s="185">
        <v>12</v>
      </c>
      <c r="AM14" s="185">
        <v>12</v>
      </c>
      <c r="AN14" s="169">
        <f>2-1</f>
        <v>1</v>
      </c>
      <c r="AO14" s="185"/>
      <c r="AP14" s="185">
        <v>1</v>
      </c>
      <c r="AQ14" s="185">
        <v>2</v>
      </c>
      <c r="AR14" s="184">
        <v>1</v>
      </c>
      <c r="AS14" s="184">
        <v>2</v>
      </c>
      <c r="AT14" s="169">
        <f>45-9</f>
        <v>36</v>
      </c>
      <c r="AU14" s="169">
        <f>37-2</f>
        <v>35</v>
      </c>
      <c r="AV14" s="184">
        <v>2</v>
      </c>
      <c r="AW14" s="185">
        <v>2</v>
      </c>
      <c r="AX14" s="184">
        <v>10</v>
      </c>
      <c r="AY14" s="154">
        <f t="shared" si="12"/>
        <v>303</v>
      </c>
      <c r="AZ14" s="185">
        <v>6</v>
      </c>
      <c r="BA14" s="131">
        <v>1</v>
      </c>
      <c r="BB14" s="131"/>
      <c r="BC14" s="130"/>
      <c r="BD14" s="130">
        <v>-1</v>
      </c>
      <c r="BE14" s="130"/>
      <c r="BF14" s="130"/>
      <c r="BG14" s="130">
        <v>1</v>
      </c>
      <c r="BH14" s="130"/>
      <c r="BI14" s="130"/>
      <c r="BJ14" s="130"/>
      <c r="BK14" s="185"/>
      <c r="BL14" s="185"/>
      <c r="BM14" s="185"/>
      <c r="BN14" s="185"/>
      <c r="BO14" s="185"/>
      <c r="BP14" s="185">
        <v>1</v>
      </c>
      <c r="BQ14" s="185">
        <v>1</v>
      </c>
      <c r="BR14" s="185"/>
      <c r="BS14" s="185"/>
      <c r="BT14" s="185"/>
      <c r="BU14" s="185"/>
      <c r="BV14" s="185"/>
      <c r="BW14" s="185"/>
      <c r="BX14" s="185">
        <v>1</v>
      </c>
      <c r="BY14" s="184"/>
      <c r="BZ14" s="185"/>
      <c r="CA14" s="184">
        <v>0</v>
      </c>
      <c r="CB14" s="154">
        <f t="shared" si="13"/>
        <v>4</v>
      </c>
      <c r="CC14" s="185">
        <v>0</v>
      </c>
      <c r="CD14" s="130">
        <f t="shared" si="0"/>
        <v>307</v>
      </c>
      <c r="CE14" s="130">
        <f t="shared" si="1"/>
        <v>6</v>
      </c>
      <c r="CF14" s="133">
        <f t="shared" si="2"/>
        <v>309</v>
      </c>
      <c r="CG14" s="134">
        <f t="shared" si="3"/>
        <v>4</v>
      </c>
      <c r="CH14" s="14">
        <v>60</v>
      </c>
      <c r="CI14" s="2" t="s">
        <v>63</v>
      </c>
      <c r="CJ14" s="22"/>
      <c r="CK14" s="183"/>
      <c r="CL14" s="16">
        <v>214</v>
      </c>
      <c r="CM14" s="16"/>
      <c r="CN14" s="17"/>
      <c r="CO14" s="17">
        <v>-2</v>
      </c>
      <c r="CP14" s="17"/>
      <c r="CQ14" s="17">
        <v>-6</v>
      </c>
      <c r="CR14" s="136">
        <v>-1</v>
      </c>
      <c r="CS14" s="136">
        <v>-2</v>
      </c>
      <c r="CT14" s="136">
        <v>-2</v>
      </c>
      <c r="CU14" s="136">
        <v>-1</v>
      </c>
      <c r="CV14" s="136"/>
      <c r="CW14" s="136">
        <v>-1</v>
      </c>
      <c r="CX14" s="183"/>
      <c r="CY14" s="183">
        <v>-1</v>
      </c>
      <c r="CZ14" s="183"/>
      <c r="DA14" s="183">
        <v>-1</v>
      </c>
      <c r="DB14" s="183"/>
      <c r="DC14" s="183"/>
      <c r="DD14" s="183"/>
      <c r="DE14" s="18">
        <v>213</v>
      </c>
      <c r="DF14" s="18">
        <v>26</v>
      </c>
      <c r="DG14" s="19">
        <v>3</v>
      </c>
      <c r="DH14" s="19">
        <v>31</v>
      </c>
      <c r="DI14" s="19">
        <v>6</v>
      </c>
      <c r="DJ14" s="19">
        <v>50</v>
      </c>
      <c r="DK14" s="130">
        <f>7-1</f>
        <v>6</v>
      </c>
      <c r="DL14" s="130">
        <v>11</v>
      </c>
      <c r="DM14" s="130">
        <v>12</v>
      </c>
      <c r="DN14" s="130">
        <v>14</v>
      </c>
      <c r="DO14" s="185">
        <v>2</v>
      </c>
      <c r="DP14" s="185">
        <v>3</v>
      </c>
      <c r="DQ14" s="185">
        <v>6</v>
      </c>
      <c r="DR14" s="185">
        <v>5</v>
      </c>
      <c r="DS14" s="185">
        <v>5</v>
      </c>
      <c r="DT14" s="185">
        <v>9</v>
      </c>
      <c r="DU14" s="185">
        <v>4</v>
      </c>
      <c r="DV14" s="185">
        <v>1</v>
      </c>
      <c r="DW14" s="185">
        <v>1</v>
      </c>
      <c r="DX14" s="185">
        <v>7</v>
      </c>
      <c r="DY14" s="169">
        <f>38-1</f>
        <v>37</v>
      </c>
      <c r="DZ14" s="169">
        <f>43-1</f>
        <v>42</v>
      </c>
      <c r="EA14" s="169">
        <f>20-2</f>
        <v>18</v>
      </c>
      <c r="EB14" s="185">
        <v>12</v>
      </c>
      <c r="EC14" s="185">
        <v>1</v>
      </c>
      <c r="ED14" s="169">
        <f>24-5</f>
        <v>19</v>
      </c>
      <c r="EE14" s="130">
        <v>1</v>
      </c>
      <c r="EF14" s="132">
        <f t="shared" si="19"/>
        <v>528</v>
      </c>
      <c r="EG14" s="185">
        <v>1</v>
      </c>
      <c r="EH14" s="131">
        <v>2</v>
      </c>
      <c r="EI14" s="131">
        <v>1</v>
      </c>
      <c r="EJ14" s="130">
        <v>-1</v>
      </c>
      <c r="EK14" s="130"/>
      <c r="EL14" s="130"/>
      <c r="EM14" s="130"/>
      <c r="EN14" s="130">
        <v>1</v>
      </c>
      <c r="EO14" s="130">
        <v>1</v>
      </c>
      <c r="EP14" s="130"/>
      <c r="EQ14" s="130">
        <v>2</v>
      </c>
      <c r="ER14" s="185"/>
      <c r="ES14" s="185"/>
      <c r="ET14" s="185">
        <v>1</v>
      </c>
      <c r="EU14" s="185">
        <v>1</v>
      </c>
      <c r="EV14" s="185">
        <v>1</v>
      </c>
      <c r="EW14" s="185">
        <v>1</v>
      </c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32">
        <f t="shared" si="14"/>
        <v>10</v>
      </c>
      <c r="FJ14" s="185">
        <v>0</v>
      </c>
      <c r="FK14" s="130">
        <f t="shared" si="15"/>
        <v>538</v>
      </c>
      <c r="FL14" s="130">
        <f t="shared" si="16"/>
        <v>1</v>
      </c>
      <c r="FM14" s="133">
        <f t="shared" si="17"/>
        <v>529</v>
      </c>
      <c r="FN14" s="134">
        <f t="shared" si="18"/>
        <v>10</v>
      </c>
      <c r="FO14" s="67"/>
      <c r="FP14" s="67"/>
    </row>
    <row r="15" spans="1:172" x14ac:dyDescent="0.25">
      <c r="A15" s="14">
        <v>12</v>
      </c>
      <c r="B15" s="2" t="s">
        <v>16</v>
      </c>
      <c r="C15" s="15"/>
      <c r="D15" s="183">
        <v>-1</v>
      </c>
      <c r="E15" s="150">
        <v>150</v>
      </c>
      <c r="F15" s="150"/>
      <c r="G15" s="136"/>
      <c r="H15" s="136">
        <v>-2</v>
      </c>
      <c r="I15" s="136"/>
      <c r="J15" s="136"/>
      <c r="K15" s="136">
        <v>-1</v>
      </c>
      <c r="L15" s="136"/>
      <c r="M15" s="136"/>
      <c r="N15" s="136"/>
      <c r="O15" s="136">
        <v>-1</v>
      </c>
      <c r="P15" s="136"/>
      <c r="Q15" s="183"/>
      <c r="R15" s="183">
        <v>-6</v>
      </c>
      <c r="S15" s="183">
        <v>-1</v>
      </c>
      <c r="T15" s="183"/>
      <c r="U15" s="183">
        <v>-3</v>
      </c>
      <c r="V15" s="183">
        <v>-1</v>
      </c>
      <c r="W15" s="183">
        <v>-1</v>
      </c>
      <c r="X15" s="131">
        <v>147</v>
      </c>
      <c r="Y15" s="131"/>
      <c r="Z15" s="130">
        <v>6</v>
      </c>
      <c r="AA15" s="130">
        <v>16</v>
      </c>
      <c r="AB15" s="130">
        <v>2</v>
      </c>
      <c r="AC15" s="130">
        <v>1</v>
      </c>
      <c r="AD15" s="130">
        <v>10</v>
      </c>
      <c r="AE15" s="130">
        <v>9</v>
      </c>
      <c r="AF15" s="130">
        <v>6</v>
      </c>
      <c r="AG15" s="130">
        <v>1</v>
      </c>
      <c r="AH15" s="185">
        <v>6</v>
      </c>
      <c r="AI15" s="185">
        <v>56</v>
      </c>
      <c r="AJ15" s="185">
        <v>1</v>
      </c>
      <c r="AK15" s="185">
        <v>18</v>
      </c>
      <c r="AL15" s="185">
        <v>6</v>
      </c>
      <c r="AM15" s="185">
        <v>6</v>
      </c>
      <c r="AN15" s="169">
        <f>10-10</f>
        <v>0</v>
      </c>
      <c r="AO15" s="185">
        <v>5</v>
      </c>
      <c r="AP15" s="185">
        <v>3</v>
      </c>
      <c r="AQ15" s="185">
        <v>3</v>
      </c>
      <c r="AR15" s="184">
        <v>6</v>
      </c>
      <c r="AS15" s="169">
        <f>4-2</f>
        <v>2</v>
      </c>
      <c r="AT15" s="185">
        <v>5</v>
      </c>
      <c r="AU15" s="185">
        <v>5</v>
      </c>
      <c r="AV15" s="173">
        <f>2-2</f>
        <v>0</v>
      </c>
      <c r="AW15" s="185">
        <v>3</v>
      </c>
      <c r="AX15" s="173">
        <f>5-1</f>
        <v>4</v>
      </c>
      <c r="AY15" s="154">
        <f t="shared" si="12"/>
        <v>311</v>
      </c>
      <c r="AZ15" s="185">
        <v>2</v>
      </c>
      <c r="BA15" s="131">
        <v>3</v>
      </c>
      <c r="BB15" s="131"/>
      <c r="BC15" s="130">
        <v>2</v>
      </c>
      <c r="BD15" s="130">
        <v>-3</v>
      </c>
      <c r="BE15" s="130"/>
      <c r="BF15" s="130"/>
      <c r="BG15" s="130"/>
      <c r="BH15" s="130"/>
      <c r="BI15" s="130"/>
      <c r="BJ15" s="130"/>
      <c r="BK15" s="185"/>
      <c r="BL15" s="185"/>
      <c r="BM15" s="185"/>
      <c r="BN15" s="185"/>
      <c r="BO15" s="185"/>
      <c r="BP15" s="185"/>
      <c r="BQ15" s="185"/>
      <c r="BR15" s="185">
        <v>1</v>
      </c>
      <c r="BS15" s="185"/>
      <c r="BT15" s="185"/>
      <c r="BU15" s="185"/>
      <c r="BV15" s="185"/>
      <c r="BW15" s="185"/>
      <c r="BX15" s="185"/>
      <c r="BY15" s="184"/>
      <c r="BZ15" s="185"/>
      <c r="CA15" s="184">
        <v>0</v>
      </c>
      <c r="CB15" s="154">
        <f t="shared" si="13"/>
        <v>3</v>
      </c>
      <c r="CC15" s="185">
        <v>0</v>
      </c>
      <c r="CD15" s="130">
        <f t="shared" si="0"/>
        <v>314</v>
      </c>
      <c r="CE15" s="130">
        <f t="shared" si="1"/>
        <v>2</v>
      </c>
      <c r="CF15" s="133">
        <f t="shared" si="2"/>
        <v>312</v>
      </c>
      <c r="CG15" s="134">
        <f t="shared" si="3"/>
        <v>3</v>
      </c>
      <c r="CH15" s="14">
        <v>61</v>
      </c>
      <c r="CI15" s="2" t="s">
        <v>64</v>
      </c>
      <c r="CJ15" s="22"/>
      <c r="CK15" s="183"/>
      <c r="CL15" s="16">
        <v>236</v>
      </c>
      <c r="CM15" s="16">
        <v>-4</v>
      </c>
      <c r="CN15" s="17"/>
      <c r="CO15" s="17">
        <v>-26</v>
      </c>
      <c r="CP15" s="17"/>
      <c r="CQ15" s="17"/>
      <c r="CR15" s="136"/>
      <c r="CS15" s="136">
        <v>-3</v>
      </c>
      <c r="CT15" s="136">
        <v>-1</v>
      </c>
      <c r="CU15" s="136"/>
      <c r="CV15" s="136"/>
      <c r="CW15" s="136">
        <v>-1</v>
      </c>
      <c r="CX15" s="183">
        <v>-1</v>
      </c>
      <c r="CY15" s="183">
        <v>-1</v>
      </c>
      <c r="CZ15" s="183"/>
      <c r="DA15" s="183"/>
      <c r="DB15" s="183">
        <v>-1</v>
      </c>
      <c r="DC15" s="183"/>
      <c r="DD15" s="183">
        <v>-3</v>
      </c>
      <c r="DE15" s="18">
        <v>220</v>
      </c>
      <c r="DF15" s="18">
        <v>10</v>
      </c>
      <c r="DG15" s="19">
        <v>1</v>
      </c>
      <c r="DH15" s="19">
        <v>34</v>
      </c>
      <c r="DI15" s="19">
        <v>5</v>
      </c>
      <c r="DJ15" s="19">
        <v>3</v>
      </c>
      <c r="DK15" s="130">
        <v>5</v>
      </c>
      <c r="DL15" s="130">
        <v>4</v>
      </c>
      <c r="DM15" s="130">
        <v>5</v>
      </c>
      <c r="DN15" s="130">
        <v>2</v>
      </c>
      <c r="DO15" s="185">
        <v>4</v>
      </c>
      <c r="DP15" s="185">
        <v>2</v>
      </c>
      <c r="DQ15" s="185">
        <v>7</v>
      </c>
      <c r="DR15" s="185"/>
      <c r="DS15" s="185">
        <v>1</v>
      </c>
      <c r="DT15" s="185">
        <v>1</v>
      </c>
      <c r="DU15" s="185"/>
      <c r="DV15" s="185">
        <v>1</v>
      </c>
      <c r="DW15" s="169">
        <v>2</v>
      </c>
      <c r="DX15" s="169">
        <f>15-3</f>
        <v>12</v>
      </c>
      <c r="DY15" s="169">
        <f>4-1</f>
        <v>3</v>
      </c>
      <c r="DZ15" s="185">
        <v>2</v>
      </c>
      <c r="EA15" s="169">
        <f>1-1</f>
        <v>0</v>
      </c>
      <c r="EB15" s="169">
        <f>2-1</f>
        <v>1</v>
      </c>
      <c r="EC15" s="185">
        <v>2</v>
      </c>
      <c r="ED15" s="185">
        <v>1</v>
      </c>
      <c r="EE15" s="185">
        <v>1</v>
      </c>
      <c r="EF15" s="132">
        <f t="shared" si="19"/>
        <v>288</v>
      </c>
      <c r="EG15" s="185">
        <v>2</v>
      </c>
      <c r="EH15" s="131">
        <v>21</v>
      </c>
      <c r="EI15" s="131"/>
      <c r="EJ15" s="130"/>
      <c r="EK15" s="130">
        <v>-4</v>
      </c>
      <c r="EL15" s="130"/>
      <c r="EM15" s="130"/>
      <c r="EN15" s="130">
        <v>1</v>
      </c>
      <c r="EO15" s="130"/>
      <c r="EP15" s="130"/>
      <c r="EQ15" s="130"/>
      <c r="ER15" s="185"/>
      <c r="ES15" s="185"/>
      <c r="ET15" s="185"/>
      <c r="EU15" s="185"/>
      <c r="EV15" s="185"/>
      <c r="EW15" s="185"/>
      <c r="EX15" s="185"/>
      <c r="EY15" s="185"/>
      <c r="EZ15" s="185"/>
      <c r="FA15" s="169">
        <v>1</v>
      </c>
      <c r="FB15" s="185"/>
      <c r="FC15" s="185"/>
      <c r="FD15" s="185"/>
      <c r="FE15" s="185"/>
      <c r="FF15" s="185"/>
      <c r="FG15" s="185">
        <v>2</v>
      </c>
      <c r="FH15" s="185"/>
      <c r="FI15" s="132">
        <f t="shared" si="14"/>
        <v>21</v>
      </c>
      <c r="FJ15" s="185">
        <v>0</v>
      </c>
      <c r="FK15" s="130">
        <f t="shared" si="15"/>
        <v>309</v>
      </c>
      <c r="FL15" s="130">
        <f t="shared" si="16"/>
        <v>2</v>
      </c>
      <c r="FM15" s="133">
        <f t="shared" si="17"/>
        <v>290</v>
      </c>
      <c r="FN15" s="134">
        <f t="shared" si="18"/>
        <v>21</v>
      </c>
      <c r="FO15" s="67"/>
      <c r="FP15" s="67"/>
    </row>
    <row r="16" spans="1:172" x14ac:dyDescent="0.25">
      <c r="A16" s="14">
        <v>13</v>
      </c>
      <c r="B16" s="2" t="s">
        <v>17</v>
      </c>
      <c r="C16" s="15"/>
      <c r="D16" s="183">
        <v>-3</v>
      </c>
      <c r="E16" s="150">
        <v>132</v>
      </c>
      <c r="F16" s="150"/>
      <c r="G16" s="136">
        <v>-1</v>
      </c>
      <c r="H16" s="136"/>
      <c r="I16" s="136"/>
      <c r="J16" s="136"/>
      <c r="K16" s="136"/>
      <c r="L16" s="136">
        <v>-2</v>
      </c>
      <c r="M16" s="136"/>
      <c r="N16" s="136"/>
      <c r="O16" s="136">
        <v>-1</v>
      </c>
      <c r="P16" s="136">
        <v>-3</v>
      </c>
      <c r="Q16" s="183">
        <v>-1</v>
      </c>
      <c r="R16" s="183">
        <v>-3</v>
      </c>
      <c r="S16" s="183">
        <v>-2</v>
      </c>
      <c r="T16" s="183"/>
      <c r="U16" s="183">
        <v>-2</v>
      </c>
      <c r="V16" s="183"/>
      <c r="W16" s="183">
        <v>-3</v>
      </c>
      <c r="X16" s="131">
        <v>235</v>
      </c>
      <c r="Y16" s="131">
        <v>4</v>
      </c>
      <c r="Z16" s="130">
        <v>16</v>
      </c>
      <c r="AA16" s="130">
        <v>4</v>
      </c>
      <c r="AB16" s="130">
        <v>27</v>
      </c>
      <c r="AC16" s="130">
        <v>48</v>
      </c>
      <c r="AD16" s="130">
        <v>24</v>
      </c>
      <c r="AE16" s="130">
        <v>59</v>
      </c>
      <c r="AF16" s="130">
        <v>20</v>
      </c>
      <c r="AG16" s="130">
        <v>16</v>
      </c>
      <c r="AH16" s="185">
        <v>14</v>
      </c>
      <c r="AI16" s="169">
        <f>30-1</f>
        <v>29</v>
      </c>
      <c r="AJ16" s="185">
        <v>28</v>
      </c>
      <c r="AK16" s="169">
        <f>51+1</f>
        <v>52</v>
      </c>
      <c r="AL16" s="185">
        <v>33</v>
      </c>
      <c r="AM16" s="185">
        <v>9</v>
      </c>
      <c r="AN16" s="184">
        <v>17</v>
      </c>
      <c r="AO16" s="185">
        <v>15</v>
      </c>
      <c r="AP16" s="185">
        <v>19</v>
      </c>
      <c r="AQ16" s="185">
        <v>19</v>
      </c>
      <c r="AR16" s="184">
        <v>3</v>
      </c>
      <c r="AS16" s="169">
        <f>52-2</f>
        <v>50</v>
      </c>
      <c r="AT16" s="169">
        <f>21-1</f>
        <v>20</v>
      </c>
      <c r="AU16" s="228">
        <f>26-2</f>
        <v>24</v>
      </c>
      <c r="AV16" s="173">
        <f>8-2</f>
        <v>6</v>
      </c>
      <c r="AW16" s="173">
        <f>18-1</f>
        <v>17</v>
      </c>
      <c r="AX16" s="173">
        <f>16-1</f>
        <v>15</v>
      </c>
      <c r="AY16" s="154">
        <f t="shared" si="12"/>
        <v>805</v>
      </c>
      <c r="AZ16" s="185">
        <v>9</v>
      </c>
      <c r="BA16" s="131">
        <v>1</v>
      </c>
      <c r="BB16" s="131"/>
      <c r="BC16" s="130">
        <v>2</v>
      </c>
      <c r="BD16" s="130"/>
      <c r="BE16" s="130"/>
      <c r="BF16" s="130"/>
      <c r="BG16" s="130"/>
      <c r="BH16" s="130">
        <v>4</v>
      </c>
      <c r="BI16" s="130">
        <v>4</v>
      </c>
      <c r="BJ16" s="130"/>
      <c r="BK16" s="185"/>
      <c r="BL16" s="169">
        <f>1+1</f>
        <v>2</v>
      </c>
      <c r="BM16" s="185">
        <v>4</v>
      </c>
      <c r="BN16" s="169">
        <v>-1</v>
      </c>
      <c r="BO16" s="185"/>
      <c r="BP16" s="185"/>
      <c r="BQ16" s="185"/>
      <c r="BR16" s="185">
        <v>1</v>
      </c>
      <c r="BS16" s="185"/>
      <c r="BT16" s="185"/>
      <c r="BU16" s="185">
        <v>1</v>
      </c>
      <c r="BV16" s="185"/>
      <c r="BW16" s="185">
        <v>2</v>
      </c>
      <c r="BX16" s="229">
        <v>2</v>
      </c>
      <c r="BY16" s="184"/>
      <c r="BZ16" s="185"/>
      <c r="CA16" s="184">
        <v>0</v>
      </c>
      <c r="CB16" s="154">
        <f t="shared" si="13"/>
        <v>22</v>
      </c>
      <c r="CC16" s="185">
        <v>2</v>
      </c>
      <c r="CD16" s="130">
        <f t="shared" si="0"/>
        <v>827</v>
      </c>
      <c r="CE16" s="130">
        <f t="shared" si="1"/>
        <v>11</v>
      </c>
      <c r="CF16" s="133">
        <f t="shared" si="2"/>
        <v>811</v>
      </c>
      <c r="CG16" s="134">
        <f t="shared" si="3"/>
        <v>24</v>
      </c>
      <c r="CH16" s="14">
        <v>62</v>
      </c>
      <c r="CI16" s="2" t="s">
        <v>65</v>
      </c>
      <c r="CJ16" s="22"/>
      <c r="CK16" s="183"/>
      <c r="CL16" s="16">
        <v>34</v>
      </c>
      <c r="CM16" s="16"/>
      <c r="CN16" s="17">
        <v>-1</v>
      </c>
      <c r="CO16" s="17"/>
      <c r="CP16" s="17">
        <v>-2</v>
      </c>
      <c r="CQ16" s="17">
        <v>-1</v>
      </c>
      <c r="CR16" s="136"/>
      <c r="CS16" s="136"/>
      <c r="CT16" s="136"/>
      <c r="CU16" s="136"/>
      <c r="CV16" s="136"/>
      <c r="CW16" s="136">
        <v>-1</v>
      </c>
      <c r="CX16" s="183"/>
      <c r="CY16" s="183"/>
      <c r="CZ16" s="183">
        <v>-1</v>
      </c>
      <c r="DA16" s="183"/>
      <c r="DB16" s="183"/>
      <c r="DC16" s="183">
        <v>-1</v>
      </c>
      <c r="DD16" s="183"/>
      <c r="DE16" s="18">
        <v>35</v>
      </c>
      <c r="DF16" s="18">
        <v>9</v>
      </c>
      <c r="DG16" s="19">
        <v>1</v>
      </c>
      <c r="DH16" s="19">
        <v>3</v>
      </c>
      <c r="DI16" s="19">
        <v>21</v>
      </c>
      <c r="DJ16" s="19">
        <v>17</v>
      </c>
      <c r="DK16" s="130">
        <v>1</v>
      </c>
      <c r="DL16" s="130">
        <v>6</v>
      </c>
      <c r="DM16" s="130">
        <v>28</v>
      </c>
      <c r="DN16" s="130">
        <v>2</v>
      </c>
      <c r="DO16" s="185">
        <v>2</v>
      </c>
      <c r="DP16" s="185">
        <v>3</v>
      </c>
      <c r="DQ16" s="185">
        <v>6</v>
      </c>
      <c r="DR16" s="185">
        <v>5</v>
      </c>
      <c r="DS16" s="185">
        <v>9</v>
      </c>
      <c r="DT16" s="185">
        <v>3</v>
      </c>
      <c r="DU16" s="185">
        <v>1</v>
      </c>
      <c r="DV16" s="185">
        <v>5</v>
      </c>
      <c r="DW16" s="185">
        <v>4</v>
      </c>
      <c r="DX16" s="185">
        <v>1</v>
      </c>
      <c r="DY16" s="169">
        <f>2-1</f>
        <v>1</v>
      </c>
      <c r="DZ16" s="169">
        <f>3-1</f>
        <v>2</v>
      </c>
      <c r="EA16" s="185"/>
      <c r="EB16" s="185">
        <v>2</v>
      </c>
      <c r="EC16" s="185">
        <v>1</v>
      </c>
      <c r="ED16" s="185">
        <v>1</v>
      </c>
      <c r="EE16" s="185">
        <v>1</v>
      </c>
      <c r="EF16" s="132">
        <f t="shared" si="19"/>
        <v>163</v>
      </c>
      <c r="EG16" s="185">
        <v>1</v>
      </c>
      <c r="EH16" s="131"/>
      <c r="EI16" s="131"/>
      <c r="EJ16" s="130"/>
      <c r="EK16" s="130"/>
      <c r="EL16" s="130"/>
      <c r="EM16" s="130">
        <v>1</v>
      </c>
      <c r="EN16" s="130"/>
      <c r="EO16" s="130"/>
      <c r="EP16" s="130"/>
      <c r="EQ16" s="130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32">
        <f t="shared" si="14"/>
        <v>1</v>
      </c>
      <c r="FJ16" s="185">
        <v>0</v>
      </c>
      <c r="FK16" s="130">
        <f t="shared" si="15"/>
        <v>164</v>
      </c>
      <c r="FL16" s="130">
        <f t="shared" si="16"/>
        <v>1</v>
      </c>
      <c r="FM16" s="133">
        <f t="shared" si="17"/>
        <v>164</v>
      </c>
      <c r="FN16" s="134">
        <f t="shared" si="18"/>
        <v>1</v>
      </c>
      <c r="FO16" s="67"/>
      <c r="FP16" s="67"/>
    </row>
    <row r="17" spans="1:172" x14ac:dyDescent="0.25">
      <c r="A17" s="14">
        <v>14</v>
      </c>
      <c r="B17" s="2" t="s">
        <v>18</v>
      </c>
      <c r="C17" s="15"/>
      <c r="D17" s="183">
        <v>-6</v>
      </c>
      <c r="E17" s="150">
        <v>184</v>
      </c>
      <c r="F17" s="150"/>
      <c r="G17" s="136">
        <v>-1</v>
      </c>
      <c r="H17" s="136"/>
      <c r="I17" s="136"/>
      <c r="J17" s="136"/>
      <c r="K17" s="136"/>
      <c r="L17" s="136">
        <v>-1</v>
      </c>
      <c r="M17" s="136"/>
      <c r="N17" s="136">
        <v>-2</v>
      </c>
      <c r="O17" s="136"/>
      <c r="P17" s="136"/>
      <c r="Q17" s="183"/>
      <c r="R17" s="183"/>
      <c r="S17" s="183"/>
      <c r="T17" s="183"/>
      <c r="U17" s="183"/>
      <c r="V17" s="183"/>
      <c r="W17" s="183">
        <v>-5</v>
      </c>
      <c r="X17" s="131">
        <v>186</v>
      </c>
      <c r="Y17" s="131">
        <v>8</v>
      </c>
      <c r="Z17" s="130">
        <v>2</v>
      </c>
      <c r="AA17" s="130">
        <v>9</v>
      </c>
      <c r="AB17" s="130">
        <v>3</v>
      </c>
      <c r="AC17" s="130">
        <v>26</v>
      </c>
      <c r="AD17" s="130">
        <v>3</v>
      </c>
      <c r="AE17" s="130">
        <v>5</v>
      </c>
      <c r="AF17" s="130">
        <v>7</v>
      </c>
      <c r="AG17" s="130">
        <v>21</v>
      </c>
      <c r="AH17" s="185">
        <v>15</v>
      </c>
      <c r="AI17" s="185">
        <v>14</v>
      </c>
      <c r="AJ17" s="185">
        <v>9</v>
      </c>
      <c r="AK17" s="185">
        <v>4</v>
      </c>
      <c r="AL17" s="185">
        <v>54</v>
      </c>
      <c r="AM17" s="185">
        <v>6</v>
      </c>
      <c r="AN17" s="169">
        <f>3-1</f>
        <v>2</v>
      </c>
      <c r="AO17" s="185">
        <v>5</v>
      </c>
      <c r="AP17" s="185">
        <v>1</v>
      </c>
      <c r="AQ17" s="185">
        <v>62</v>
      </c>
      <c r="AR17" s="184">
        <v>1</v>
      </c>
      <c r="AS17" s="169">
        <f>22-2</f>
        <v>20</v>
      </c>
      <c r="AT17" s="169">
        <f>78-2</f>
        <v>76</v>
      </c>
      <c r="AU17" s="169">
        <f>50-2</f>
        <v>48</v>
      </c>
      <c r="AV17" s="173">
        <f>61-2</f>
        <v>59</v>
      </c>
      <c r="AW17" s="228">
        <f>23-5+1</f>
        <v>19</v>
      </c>
      <c r="AX17" s="141">
        <v>27</v>
      </c>
      <c r="AY17" s="224">
        <v>681</v>
      </c>
      <c r="AZ17" s="185">
        <v>71</v>
      </c>
      <c r="BA17" s="131">
        <v>1</v>
      </c>
      <c r="BB17" s="131"/>
      <c r="BC17" s="130"/>
      <c r="BD17" s="130"/>
      <c r="BE17" s="130"/>
      <c r="BF17" s="130">
        <v>1</v>
      </c>
      <c r="BG17" s="130"/>
      <c r="BH17" s="130"/>
      <c r="BI17" s="130"/>
      <c r="BJ17" s="130"/>
      <c r="BK17" s="185">
        <v>1</v>
      </c>
      <c r="BL17" s="185"/>
      <c r="BM17" s="185"/>
      <c r="BN17" s="185"/>
      <c r="BO17" s="185"/>
      <c r="BP17" s="185"/>
      <c r="BQ17" s="185"/>
      <c r="BR17" s="185">
        <v>1</v>
      </c>
      <c r="BS17" s="185"/>
      <c r="BT17" s="185"/>
      <c r="BU17" s="185"/>
      <c r="BV17" s="185"/>
      <c r="BW17" s="185"/>
      <c r="BX17" s="185"/>
      <c r="BY17" s="184"/>
      <c r="BZ17" s="229">
        <f>2-1</f>
        <v>1</v>
      </c>
      <c r="CA17" s="184">
        <v>0</v>
      </c>
      <c r="CB17" s="224">
        <v>7</v>
      </c>
      <c r="CC17" s="185">
        <v>6</v>
      </c>
      <c r="CD17" s="130">
        <f t="shared" si="0"/>
        <v>688</v>
      </c>
      <c r="CE17" s="130">
        <f t="shared" si="1"/>
        <v>77</v>
      </c>
      <c r="CF17" s="133">
        <f t="shared" si="2"/>
        <v>746</v>
      </c>
      <c r="CG17" s="134">
        <f t="shared" si="3"/>
        <v>13</v>
      </c>
      <c r="CH17" s="14">
        <v>63</v>
      </c>
      <c r="CI17" s="2" t="s">
        <v>66</v>
      </c>
      <c r="CJ17" s="22"/>
      <c r="CK17" s="183"/>
      <c r="CL17" s="16">
        <v>102</v>
      </c>
      <c r="CM17" s="16"/>
      <c r="CN17" s="17"/>
      <c r="CO17" s="17">
        <v>-1</v>
      </c>
      <c r="CP17" s="17">
        <v>-1</v>
      </c>
      <c r="CQ17" s="17">
        <v>-2</v>
      </c>
      <c r="CR17" s="136">
        <v>-3</v>
      </c>
      <c r="CS17" s="136"/>
      <c r="CT17" s="136"/>
      <c r="CU17" s="136"/>
      <c r="CV17" s="136"/>
      <c r="CW17" s="136"/>
      <c r="CX17" s="183"/>
      <c r="CY17" s="183">
        <v>-1</v>
      </c>
      <c r="CZ17" s="183">
        <v>-1</v>
      </c>
      <c r="DA17" s="183">
        <v>-2</v>
      </c>
      <c r="DB17" s="183">
        <v>-8</v>
      </c>
      <c r="DC17" s="183"/>
      <c r="DD17" s="183"/>
      <c r="DE17" s="18">
        <v>105</v>
      </c>
      <c r="DF17" s="18">
        <v>4</v>
      </c>
      <c r="DG17" s="19">
        <v>1</v>
      </c>
      <c r="DH17" s="19">
        <v>21</v>
      </c>
      <c r="DI17" s="19">
        <v>5</v>
      </c>
      <c r="DJ17" s="19">
        <v>29</v>
      </c>
      <c r="DK17" s="130">
        <v>11</v>
      </c>
      <c r="DL17" s="130">
        <v>6</v>
      </c>
      <c r="DM17" s="130">
        <v>8</v>
      </c>
      <c r="DN17" s="130">
        <v>6</v>
      </c>
      <c r="DO17" s="185">
        <v>12</v>
      </c>
      <c r="DP17" s="185">
        <v>4</v>
      </c>
      <c r="DQ17" s="185">
        <v>1</v>
      </c>
      <c r="DR17" s="185">
        <v>2</v>
      </c>
      <c r="DS17" s="185">
        <v>13</v>
      </c>
      <c r="DT17" s="185">
        <v>8</v>
      </c>
      <c r="DU17" s="169">
        <f>25-6</f>
        <v>19</v>
      </c>
      <c r="DV17" s="185">
        <v>11</v>
      </c>
      <c r="DW17" s="185">
        <v>7</v>
      </c>
      <c r="DX17" s="185">
        <v>2</v>
      </c>
      <c r="DY17" s="185">
        <v>3</v>
      </c>
      <c r="DZ17" s="185">
        <v>9</v>
      </c>
      <c r="EA17" s="185">
        <v>6</v>
      </c>
      <c r="EB17" s="169">
        <f>4-2</f>
        <v>2</v>
      </c>
      <c r="EC17" s="185">
        <v>4</v>
      </c>
      <c r="ED17" s="185">
        <v>1</v>
      </c>
      <c r="EE17" s="169">
        <f>1-2</f>
        <v>-1</v>
      </c>
      <c r="EF17" s="132">
        <f t="shared" si="19"/>
        <v>280</v>
      </c>
      <c r="EG17" s="185">
        <v>3</v>
      </c>
      <c r="EH17" s="131">
        <v>2</v>
      </c>
      <c r="EI17" s="131">
        <v>1</v>
      </c>
      <c r="EJ17" s="130"/>
      <c r="EK17" s="130">
        <v>4</v>
      </c>
      <c r="EL17" s="130"/>
      <c r="EM17" s="130"/>
      <c r="EN17" s="130"/>
      <c r="EO17" s="130"/>
      <c r="EP17" s="130"/>
      <c r="EQ17" s="130"/>
      <c r="ER17" s="185"/>
      <c r="ES17" s="185"/>
      <c r="ET17" s="185"/>
      <c r="EU17" s="185"/>
      <c r="EV17" s="185"/>
      <c r="EW17" s="185"/>
      <c r="EX17" s="185"/>
      <c r="EY17" s="185">
        <v>1</v>
      </c>
      <c r="EZ17" s="185">
        <v>1</v>
      </c>
      <c r="FA17" s="185"/>
      <c r="FB17" s="185"/>
      <c r="FC17" s="185"/>
      <c r="FD17" s="185"/>
      <c r="FE17" s="185"/>
      <c r="FF17" s="185"/>
      <c r="FG17" s="185">
        <v>1</v>
      </c>
      <c r="FH17" s="185"/>
      <c r="FI17" s="132">
        <f t="shared" si="14"/>
        <v>10</v>
      </c>
      <c r="FJ17" s="185">
        <v>0</v>
      </c>
      <c r="FK17" s="130">
        <f t="shared" si="15"/>
        <v>290</v>
      </c>
      <c r="FL17" s="130">
        <f t="shared" si="16"/>
        <v>3</v>
      </c>
      <c r="FM17" s="133">
        <f t="shared" si="17"/>
        <v>283</v>
      </c>
      <c r="FN17" s="134">
        <f t="shared" si="18"/>
        <v>10</v>
      </c>
      <c r="FO17" s="67"/>
      <c r="FP17" s="67"/>
    </row>
    <row r="18" spans="1:172" x14ac:dyDescent="0.25">
      <c r="A18" s="14">
        <v>15</v>
      </c>
      <c r="B18" s="2" t="s">
        <v>19</v>
      </c>
      <c r="C18" s="15"/>
      <c r="D18" s="183"/>
      <c r="E18" s="150">
        <v>145</v>
      </c>
      <c r="F18" s="150">
        <v>-2</v>
      </c>
      <c r="G18" s="136">
        <v>-3</v>
      </c>
      <c r="H18" s="136"/>
      <c r="I18" s="136">
        <v>-1</v>
      </c>
      <c r="J18" s="136">
        <v>-1</v>
      </c>
      <c r="K18" s="136"/>
      <c r="L18" s="136"/>
      <c r="M18" s="136">
        <v>-1</v>
      </c>
      <c r="N18" s="136"/>
      <c r="O18" s="136">
        <v>-1</v>
      </c>
      <c r="P18" s="136"/>
      <c r="Q18" s="183"/>
      <c r="R18" s="183"/>
      <c r="S18" s="183">
        <v>-2</v>
      </c>
      <c r="T18" s="183">
        <v>-1</v>
      </c>
      <c r="U18" s="183"/>
      <c r="V18" s="183">
        <v>-1</v>
      </c>
      <c r="W18" s="183"/>
      <c r="X18" s="131">
        <v>145</v>
      </c>
      <c r="Y18" s="131">
        <v>8</v>
      </c>
      <c r="Z18" s="130">
        <v>25</v>
      </c>
      <c r="AA18" s="130">
        <v>1</v>
      </c>
      <c r="AB18" s="130">
        <v>4</v>
      </c>
      <c r="AC18" s="130">
        <v>20</v>
      </c>
      <c r="AD18" s="130"/>
      <c r="AE18" s="130"/>
      <c r="AF18" s="130">
        <v>7</v>
      </c>
      <c r="AG18" s="130"/>
      <c r="AH18" s="185">
        <v>9</v>
      </c>
      <c r="AI18" s="185">
        <v>2</v>
      </c>
      <c r="AJ18" s="185">
        <v>1</v>
      </c>
      <c r="AK18" s="185">
        <v>3</v>
      </c>
      <c r="AL18" s="185">
        <v>4</v>
      </c>
      <c r="AM18" s="185">
        <v>20</v>
      </c>
      <c r="AN18" s="169">
        <f>10-1</f>
        <v>9</v>
      </c>
      <c r="AO18" s="185"/>
      <c r="AP18" s="185">
        <v>5</v>
      </c>
      <c r="AQ18" s="185">
        <v>1</v>
      </c>
      <c r="AR18" s="184">
        <v>0</v>
      </c>
      <c r="AS18" s="184">
        <v>3</v>
      </c>
      <c r="AT18" s="185">
        <v>1</v>
      </c>
      <c r="AU18" s="185">
        <v>1</v>
      </c>
      <c r="AV18" s="184">
        <v>0</v>
      </c>
      <c r="AW18" s="173">
        <f>2-1</f>
        <v>1</v>
      </c>
      <c r="AX18" s="141">
        <v>0</v>
      </c>
      <c r="AY18" s="154">
        <f t="shared" si="12"/>
        <v>257</v>
      </c>
      <c r="AZ18" s="185">
        <v>1</v>
      </c>
      <c r="BA18" s="131"/>
      <c r="BB18" s="131"/>
      <c r="BC18" s="130"/>
      <c r="BD18" s="130"/>
      <c r="BE18" s="130"/>
      <c r="BF18" s="130"/>
      <c r="BG18" s="130"/>
      <c r="BH18" s="130"/>
      <c r="BI18" s="130"/>
      <c r="BJ18" s="130"/>
      <c r="BK18" s="185"/>
      <c r="BL18" s="185"/>
      <c r="BM18" s="185"/>
      <c r="BN18" s="185"/>
      <c r="BO18" s="185"/>
      <c r="BP18" s="185"/>
      <c r="BQ18" s="185">
        <v>1</v>
      </c>
      <c r="BR18" s="185"/>
      <c r="BS18" s="185"/>
      <c r="BT18" s="185"/>
      <c r="BU18" s="185"/>
      <c r="BV18" s="185"/>
      <c r="BW18" s="185"/>
      <c r="BX18" s="185"/>
      <c r="BY18" s="184"/>
      <c r="BZ18" s="185"/>
      <c r="CA18" s="184">
        <v>0</v>
      </c>
      <c r="CB18" s="154">
        <f t="shared" si="13"/>
        <v>1</v>
      </c>
      <c r="CC18" s="185">
        <v>0</v>
      </c>
      <c r="CD18" s="130">
        <f t="shared" si="0"/>
        <v>258</v>
      </c>
      <c r="CE18" s="130">
        <f t="shared" si="1"/>
        <v>1</v>
      </c>
      <c r="CF18" s="133">
        <f t="shared" si="2"/>
        <v>258</v>
      </c>
      <c r="CG18" s="134">
        <f t="shared" si="3"/>
        <v>1</v>
      </c>
      <c r="CH18" s="14">
        <v>64</v>
      </c>
      <c r="CI18" s="2" t="s">
        <v>67</v>
      </c>
      <c r="CJ18" s="22"/>
      <c r="CK18" s="183"/>
      <c r="CL18" s="16">
        <v>95</v>
      </c>
      <c r="CM18" s="16"/>
      <c r="CN18" s="17"/>
      <c r="CO18" s="17">
        <v>-1</v>
      </c>
      <c r="CP18" s="17"/>
      <c r="CQ18" s="17"/>
      <c r="CR18" s="136">
        <v>-2</v>
      </c>
      <c r="CS18" s="136"/>
      <c r="CT18" s="136"/>
      <c r="CU18" s="136"/>
      <c r="CV18" s="136"/>
      <c r="CW18" s="136">
        <v>-4</v>
      </c>
      <c r="CX18" s="183"/>
      <c r="CY18" s="183"/>
      <c r="CZ18" s="183"/>
      <c r="DA18" s="183"/>
      <c r="DB18" s="183"/>
      <c r="DC18" s="183"/>
      <c r="DD18" s="183">
        <v>-2</v>
      </c>
      <c r="DE18" s="18">
        <v>99</v>
      </c>
      <c r="DF18" s="18"/>
      <c r="DG18" s="19">
        <v>9</v>
      </c>
      <c r="DH18" s="19">
        <v>7</v>
      </c>
      <c r="DI18" s="19">
        <v>5</v>
      </c>
      <c r="DJ18" s="19"/>
      <c r="DK18" s="130">
        <v>1</v>
      </c>
      <c r="DL18" s="130">
        <v>3</v>
      </c>
      <c r="DM18" s="130">
        <v>5</v>
      </c>
      <c r="DN18" s="130">
        <v>2</v>
      </c>
      <c r="DO18" s="185">
        <v>8</v>
      </c>
      <c r="DP18" s="185">
        <v>20</v>
      </c>
      <c r="DQ18" s="185">
        <v>3</v>
      </c>
      <c r="DR18" s="185">
        <v>11</v>
      </c>
      <c r="DS18" s="185"/>
      <c r="DT18" s="185">
        <v>2</v>
      </c>
      <c r="DU18" s="169">
        <f>8-1</f>
        <v>7</v>
      </c>
      <c r="DV18" s="185">
        <v>2</v>
      </c>
      <c r="DW18" s="185"/>
      <c r="DX18" s="185">
        <v>2</v>
      </c>
      <c r="DY18" s="185">
        <v>5</v>
      </c>
      <c r="DZ18" s="169">
        <f>4-1</f>
        <v>3</v>
      </c>
      <c r="EA18" s="185">
        <v>1</v>
      </c>
      <c r="EB18" s="185">
        <v>1</v>
      </c>
      <c r="EC18" s="185">
        <v>6</v>
      </c>
      <c r="ED18" s="185">
        <v>1</v>
      </c>
      <c r="EE18" s="185">
        <v>1</v>
      </c>
      <c r="EF18" s="132">
        <f t="shared" si="19"/>
        <v>195</v>
      </c>
      <c r="EG18" s="185">
        <v>1</v>
      </c>
      <c r="EH18" s="131">
        <v>2</v>
      </c>
      <c r="EI18" s="131"/>
      <c r="EJ18" s="130"/>
      <c r="EK18" s="130"/>
      <c r="EL18" s="130">
        <v>1</v>
      </c>
      <c r="EM18" s="130"/>
      <c r="EN18" s="130">
        <v>1</v>
      </c>
      <c r="EO18" s="130"/>
      <c r="EP18" s="130"/>
      <c r="EQ18" s="130"/>
      <c r="ER18" s="185"/>
      <c r="ES18" s="185"/>
      <c r="ET18" s="185">
        <v>1</v>
      </c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32">
        <f t="shared" si="14"/>
        <v>5</v>
      </c>
      <c r="FJ18" s="185">
        <v>0</v>
      </c>
      <c r="FK18" s="130">
        <f t="shared" si="15"/>
        <v>200</v>
      </c>
      <c r="FL18" s="130">
        <f t="shared" si="16"/>
        <v>1</v>
      </c>
      <c r="FM18" s="133">
        <f t="shared" si="17"/>
        <v>196</v>
      </c>
      <c r="FN18" s="134">
        <f t="shared" si="18"/>
        <v>5</v>
      </c>
      <c r="FO18" s="67"/>
      <c r="FP18" s="67"/>
    </row>
    <row r="19" spans="1:172" x14ac:dyDescent="0.25">
      <c r="A19" s="14">
        <v>16</v>
      </c>
      <c r="B19" s="2" t="s">
        <v>20</v>
      </c>
      <c r="C19" s="15"/>
      <c r="D19" s="183">
        <v>-3</v>
      </c>
      <c r="E19" s="150">
        <v>52</v>
      </c>
      <c r="F19" s="150"/>
      <c r="G19" s="136"/>
      <c r="H19" s="136"/>
      <c r="I19" s="136"/>
      <c r="J19" s="136"/>
      <c r="K19" s="136"/>
      <c r="L19" s="136"/>
      <c r="M19" s="136">
        <v>-1</v>
      </c>
      <c r="N19" s="136">
        <v>-3</v>
      </c>
      <c r="O19" s="136"/>
      <c r="P19" s="136"/>
      <c r="Q19" s="183">
        <v>-1</v>
      </c>
      <c r="R19" s="183">
        <v>-2</v>
      </c>
      <c r="S19" s="183">
        <v>-2</v>
      </c>
      <c r="T19" s="183"/>
      <c r="U19" s="183"/>
      <c r="V19" s="183"/>
      <c r="W19" s="183">
        <v>-1</v>
      </c>
      <c r="X19" s="131">
        <v>55</v>
      </c>
      <c r="Y19" s="131">
        <v>6</v>
      </c>
      <c r="Z19" s="130">
        <v>5</v>
      </c>
      <c r="AA19" s="130">
        <v>10</v>
      </c>
      <c r="AB19" s="130">
        <v>23</v>
      </c>
      <c r="AC19" s="130">
        <v>7</v>
      </c>
      <c r="AD19" s="130">
        <v>16</v>
      </c>
      <c r="AE19" s="130">
        <v>10</v>
      </c>
      <c r="AF19" s="130">
        <v>15</v>
      </c>
      <c r="AG19" s="130">
        <v>20</v>
      </c>
      <c r="AH19" s="185">
        <v>18</v>
      </c>
      <c r="AI19" s="185">
        <v>7</v>
      </c>
      <c r="AJ19" s="185">
        <v>21</v>
      </c>
      <c r="AK19" s="185">
        <v>13</v>
      </c>
      <c r="AL19" s="185">
        <v>27</v>
      </c>
      <c r="AM19" s="185">
        <v>12</v>
      </c>
      <c r="AN19" s="169">
        <f>6-1</f>
        <v>5</v>
      </c>
      <c r="AO19" s="185">
        <v>16</v>
      </c>
      <c r="AP19" s="185">
        <v>4</v>
      </c>
      <c r="AQ19" s="185">
        <v>5</v>
      </c>
      <c r="AR19" s="169">
        <f>2-2</f>
        <v>0</v>
      </c>
      <c r="AS19" s="169">
        <f>1-1</f>
        <v>0</v>
      </c>
      <c r="AT19" s="185">
        <v>0</v>
      </c>
      <c r="AU19" s="228">
        <f>1+1</f>
        <v>2</v>
      </c>
      <c r="AV19" s="184">
        <v>1</v>
      </c>
      <c r="AW19" s="185">
        <v>1</v>
      </c>
      <c r="AX19" s="184">
        <v>1</v>
      </c>
      <c r="AY19" s="154">
        <f t="shared" si="12"/>
        <v>290</v>
      </c>
      <c r="AZ19" s="185">
        <v>0</v>
      </c>
      <c r="BA19" s="131">
        <v>1</v>
      </c>
      <c r="BB19" s="131"/>
      <c r="BC19" s="130"/>
      <c r="BD19" s="130"/>
      <c r="BE19" s="130"/>
      <c r="BF19" s="130">
        <v>2</v>
      </c>
      <c r="BG19" s="130"/>
      <c r="BH19" s="130">
        <v>2</v>
      </c>
      <c r="BI19" s="130"/>
      <c r="BJ19" s="130"/>
      <c r="BK19" s="185">
        <v>3</v>
      </c>
      <c r="BL19" s="185"/>
      <c r="BM19" s="185">
        <v>3</v>
      </c>
      <c r="BN19" s="185"/>
      <c r="BO19" s="185"/>
      <c r="BP19" s="185"/>
      <c r="BQ19" s="185"/>
      <c r="BR19" s="185"/>
      <c r="BS19" s="185">
        <v>1</v>
      </c>
      <c r="BT19" s="185"/>
      <c r="BU19" s="185"/>
      <c r="BV19" s="185"/>
      <c r="BW19" s="185"/>
      <c r="BX19" s="229">
        <v>-1</v>
      </c>
      <c r="BY19" s="184"/>
      <c r="BZ19" s="185"/>
      <c r="CA19" s="184">
        <v>0</v>
      </c>
      <c r="CB19" s="154">
        <f t="shared" si="13"/>
        <v>11</v>
      </c>
      <c r="CC19" s="185">
        <v>1</v>
      </c>
      <c r="CD19" s="130">
        <f t="shared" si="0"/>
        <v>301</v>
      </c>
      <c r="CE19" s="130">
        <f t="shared" si="1"/>
        <v>1</v>
      </c>
      <c r="CF19" s="133">
        <f t="shared" si="2"/>
        <v>287</v>
      </c>
      <c r="CG19" s="134">
        <f t="shared" si="3"/>
        <v>12</v>
      </c>
      <c r="CH19" s="14">
        <v>65</v>
      </c>
      <c r="CI19" s="2" t="s">
        <v>68</v>
      </c>
      <c r="CJ19" s="22"/>
      <c r="CK19" s="183"/>
      <c r="CL19" s="16">
        <v>9</v>
      </c>
      <c r="CM19" s="16"/>
      <c r="CN19" s="17"/>
      <c r="CO19" s="17"/>
      <c r="CP19" s="17"/>
      <c r="CQ19" s="17"/>
      <c r="CR19" s="136"/>
      <c r="CS19" s="136">
        <v>-1</v>
      </c>
      <c r="CT19" s="136"/>
      <c r="CU19" s="136"/>
      <c r="CV19" s="136"/>
      <c r="CW19" s="136">
        <v>-1</v>
      </c>
      <c r="CX19" s="183"/>
      <c r="CY19" s="183"/>
      <c r="CZ19" s="183"/>
      <c r="DA19" s="183"/>
      <c r="DB19" s="183"/>
      <c r="DC19" s="183">
        <v>-1</v>
      </c>
      <c r="DD19" s="183"/>
      <c r="DE19" s="18">
        <v>8</v>
      </c>
      <c r="DF19" s="18"/>
      <c r="DG19" s="19">
        <v>3</v>
      </c>
      <c r="DH19" s="19">
        <v>12</v>
      </c>
      <c r="DI19" s="19">
        <v>2</v>
      </c>
      <c r="DJ19" s="19"/>
      <c r="DK19" s="130"/>
      <c r="DL19" s="130">
        <v>8</v>
      </c>
      <c r="DM19" s="130"/>
      <c r="DN19" s="130">
        <v>3</v>
      </c>
      <c r="DO19" s="185">
        <v>3</v>
      </c>
      <c r="DP19" s="185">
        <v>29</v>
      </c>
      <c r="DQ19" s="185">
        <v>1</v>
      </c>
      <c r="DR19" s="185">
        <v>3</v>
      </c>
      <c r="DS19" s="185"/>
      <c r="DT19" s="185">
        <v>2</v>
      </c>
      <c r="DU19" s="185"/>
      <c r="DV19" s="185"/>
      <c r="DW19" s="185">
        <v>1</v>
      </c>
      <c r="DX19" s="185"/>
      <c r="DY19" s="185"/>
      <c r="DZ19" s="185">
        <v>1</v>
      </c>
      <c r="EA19" s="185"/>
      <c r="EB19" s="185">
        <v>1</v>
      </c>
      <c r="EC19" s="169">
        <v>0</v>
      </c>
      <c r="ED19" s="185"/>
      <c r="EE19" s="169">
        <f>1-1</f>
        <v>0</v>
      </c>
      <c r="EF19" s="132">
        <f t="shared" si="19"/>
        <v>74</v>
      </c>
      <c r="EG19" s="185">
        <v>1</v>
      </c>
      <c r="EH19" s="131">
        <v>1</v>
      </c>
      <c r="EI19" s="131"/>
      <c r="EJ19" s="130"/>
      <c r="EK19" s="130">
        <v>-1</v>
      </c>
      <c r="EL19" s="130"/>
      <c r="EM19" s="130"/>
      <c r="EN19" s="130"/>
      <c r="EO19" s="130"/>
      <c r="EP19" s="130"/>
      <c r="EQ19" s="130"/>
      <c r="ER19" s="185">
        <v>2</v>
      </c>
      <c r="ES19" s="185">
        <v>1</v>
      </c>
      <c r="ET19" s="185">
        <v>1</v>
      </c>
      <c r="EU19" s="185"/>
      <c r="EV19" s="185"/>
      <c r="EW19" s="185"/>
      <c r="EX19" s="185"/>
      <c r="EY19" s="185"/>
      <c r="EZ19" s="185"/>
      <c r="FA19" s="185"/>
      <c r="FB19" s="185">
        <v>2</v>
      </c>
      <c r="FC19" s="185"/>
      <c r="FD19" s="185"/>
      <c r="FE19" s="185"/>
      <c r="FF19" s="185"/>
      <c r="FG19" s="185"/>
      <c r="FH19" s="185"/>
      <c r="FI19" s="132">
        <f t="shared" si="14"/>
        <v>6</v>
      </c>
      <c r="FJ19" s="185">
        <v>0</v>
      </c>
      <c r="FK19" s="130">
        <f t="shared" si="15"/>
        <v>80</v>
      </c>
      <c r="FL19" s="130">
        <f t="shared" si="16"/>
        <v>1</v>
      </c>
      <c r="FM19" s="133">
        <f t="shared" si="17"/>
        <v>75</v>
      </c>
      <c r="FN19" s="134">
        <f t="shared" si="18"/>
        <v>6</v>
      </c>
      <c r="FO19" s="67"/>
      <c r="FP19" s="67"/>
    </row>
    <row r="20" spans="1:172" x14ac:dyDescent="0.25">
      <c r="A20" s="14">
        <v>17</v>
      </c>
      <c r="B20" s="2" t="s">
        <v>21</v>
      </c>
      <c r="C20" s="15"/>
      <c r="D20" s="183">
        <v>-1</v>
      </c>
      <c r="E20" s="150">
        <v>346</v>
      </c>
      <c r="F20" s="150">
        <v>-1</v>
      </c>
      <c r="G20" s="136">
        <v>-2</v>
      </c>
      <c r="H20" s="136">
        <v>-2</v>
      </c>
      <c r="I20" s="136">
        <v>-1</v>
      </c>
      <c r="J20" s="136"/>
      <c r="K20" s="136">
        <v>-1</v>
      </c>
      <c r="L20" s="136">
        <v>-4</v>
      </c>
      <c r="M20" s="136">
        <v>-3</v>
      </c>
      <c r="N20" s="136">
        <v>-2</v>
      </c>
      <c r="O20" s="136">
        <v>-4</v>
      </c>
      <c r="P20" s="136">
        <v>-7</v>
      </c>
      <c r="Q20" s="183">
        <v>-9</v>
      </c>
      <c r="R20" s="183">
        <v>-6</v>
      </c>
      <c r="S20" s="183">
        <v>-3</v>
      </c>
      <c r="T20" s="183">
        <v>-25</v>
      </c>
      <c r="U20" s="183">
        <v>-1</v>
      </c>
      <c r="V20" s="183">
        <v>-2</v>
      </c>
      <c r="W20" s="183">
        <v>-6</v>
      </c>
      <c r="X20" s="131">
        <v>436</v>
      </c>
      <c r="Y20" s="131">
        <v>46</v>
      </c>
      <c r="Z20" s="130">
        <v>46</v>
      </c>
      <c r="AA20" s="130">
        <v>115</v>
      </c>
      <c r="AB20" s="130">
        <v>100</v>
      </c>
      <c r="AC20" s="130">
        <v>63</v>
      </c>
      <c r="AD20" s="130">
        <f>91-1</f>
        <v>90</v>
      </c>
      <c r="AE20" s="130">
        <f>136-1</f>
        <v>135</v>
      </c>
      <c r="AF20" s="130">
        <v>83</v>
      </c>
      <c r="AG20" s="169">
        <f>100-1</f>
        <v>99</v>
      </c>
      <c r="AH20" s="185">
        <v>168</v>
      </c>
      <c r="AI20" s="169">
        <f>134-1</f>
        <v>133</v>
      </c>
      <c r="AJ20" s="185">
        <v>88</v>
      </c>
      <c r="AK20" s="185">
        <v>170</v>
      </c>
      <c r="AL20" s="169">
        <f>85-2</f>
        <v>83</v>
      </c>
      <c r="AM20" s="169">
        <f>24-1</f>
        <v>23</v>
      </c>
      <c r="AN20" s="169">
        <f>14-6</f>
        <v>8</v>
      </c>
      <c r="AO20" s="185">
        <v>15</v>
      </c>
      <c r="AP20" s="185">
        <v>28</v>
      </c>
      <c r="AQ20" s="185">
        <v>14</v>
      </c>
      <c r="AR20" s="228">
        <f>36-3-2</f>
        <v>31</v>
      </c>
      <c r="AS20" s="169">
        <f>26-3</f>
        <v>23</v>
      </c>
      <c r="AT20" s="169">
        <f>6-2</f>
        <v>4</v>
      </c>
      <c r="AU20" s="169">
        <f>4-4</f>
        <v>0</v>
      </c>
      <c r="AV20" s="173">
        <f>9-9</f>
        <v>0</v>
      </c>
      <c r="AW20" s="228">
        <f>5-2</f>
        <v>3</v>
      </c>
      <c r="AX20" s="173">
        <f>4-1</f>
        <v>3</v>
      </c>
      <c r="AY20" s="154">
        <f t="shared" si="12"/>
        <v>1928</v>
      </c>
      <c r="AZ20" s="185">
        <v>4</v>
      </c>
      <c r="BA20" s="131">
        <v>9</v>
      </c>
      <c r="BB20" s="131"/>
      <c r="BC20" s="130"/>
      <c r="BD20" s="130">
        <v>1</v>
      </c>
      <c r="BE20" s="130">
        <v>1</v>
      </c>
      <c r="BF20" s="130"/>
      <c r="BG20" s="130">
        <v>1</v>
      </c>
      <c r="BH20" s="130">
        <f>13+1</f>
        <v>14</v>
      </c>
      <c r="BI20" s="130">
        <v>6</v>
      </c>
      <c r="BJ20" s="130">
        <f>2+1</f>
        <v>3</v>
      </c>
      <c r="BK20" s="185">
        <v>5</v>
      </c>
      <c r="BL20" s="169">
        <f>3+1</f>
        <v>4</v>
      </c>
      <c r="BM20" s="185">
        <v>1</v>
      </c>
      <c r="BN20" s="185">
        <v>2</v>
      </c>
      <c r="BO20" s="169">
        <v>2</v>
      </c>
      <c r="BP20" s="169">
        <f>4+1</f>
        <v>5</v>
      </c>
      <c r="BQ20" s="185"/>
      <c r="BR20" s="185">
        <v>1</v>
      </c>
      <c r="BS20" s="185">
        <v>1</v>
      </c>
      <c r="BT20" s="185">
        <v>1</v>
      </c>
      <c r="BU20" s="227">
        <f>5+2</f>
        <v>7</v>
      </c>
      <c r="BV20" s="185">
        <v>1</v>
      </c>
      <c r="BW20" s="185"/>
      <c r="BX20" s="185"/>
      <c r="BY20" s="169">
        <f>3-1</f>
        <v>2</v>
      </c>
      <c r="BZ20" s="229">
        <f>3+2</f>
        <v>5</v>
      </c>
      <c r="CA20" s="184">
        <v>0</v>
      </c>
      <c r="CB20" s="154">
        <f t="shared" si="13"/>
        <v>72</v>
      </c>
      <c r="CC20" s="185">
        <v>0</v>
      </c>
      <c r="CD20" s="130">
        <f t="shared" si="0"/>
        <v>2000</v>
      </c>
      <c r="CE20" s="130">
        <f t="shared" si="1"/>
        <v>4</v>
      </c>
      <c r="CF20" s="133">
        <f t="shared" si="2"/>
        <v>1931</v>
      </c>
      <c r="CG20" s="134">
        <f t="shared" si="3"/>
        <v>72</v>
      </c>
      <c r="CH20" s="14">
        <v>66</v>
      </c>
      <c r="CI20" s="2" t="s">
        <v>69</v>
      </c>
      <c r="CJ20" s="22"/>
      <c r="CK20" s="183"/>
      <c r="CL20" s="16">
        <v>132</v>
      </c>
      <c r="CM20" s="16">
        <v>-15</v>
      </c>
      <c r="CN20" s="17"/>
      <c r="CO20" s="17">
        <v>-2</v>
      </c>
      <c r="CP20" s="17">
        <v>-5</v>
      </c>
      <c r="CQ20" s="17">
        <v>-2</v>
      </c>
      <c r="CR20" s="136"/>
      <c r="CS20" s="136"/>
      <c r="CT20" s="136"/>
      <c r="CU20" s="136"/>
      <c r="CV20" s="136">
        <v>-2</v>
      </c>
      <c r="CW20" s="136"/>
      <c r="CX20" s="183">
        <v>-6</v>
      </c>
      <c r="CY20" s="183"/>
      <c r="CZ20" s="183">
        <v>-4</v>
      </c>
      <c r="DA20" s="183">
        <v>-5</v>
      </c>
      <c r="DB20" s="183"/>
      <c r="DC20" s="183"/>
      <c r="DD20" s="183">
        <v>-1</v>
      </c>
      <c r="DE20" s="18">
        <v>131</v>
      </c>
      <c r="DF20" s="18">
        <v>23</v>
      </c>
      <c r="DG20" s="19">
        <v>16</v>
      </c>
      <c r="DH20" s="19">
        <v>175</v>
      </c>
      <c r="DI20" s="19">
        <v>92</v>
      </c>
      <c r="DJ20" s="19">
        <v>56</v>
      </c>
      <c r="DK20" s="130">
        <v>1</v>
      </c>
      <c r="DL20" s="130">
        <v>83</v>
      </c>
      <c r="DM20" s="130">
        <v>3</v>
      </c>
      <c r="DN20" s="130">
        <v>2</v>
      </c>
      <c r="DO20" s="185">
        <v>30</v>
      </c>
      <c r="DP20" s="185">
        <v>6</v>
      </c>
      <c r="DQ20" s="185">
        <v>212</v>
      </c>
      <c r="DR20" s="185">
        <v>4</v>
      </c>
      <c r="DS20" s="185">
        <v>79</v>
      </c>
      <c r="DT20" s="185">
        <v>106</v>
      </c>
      <c r="DU20" s="185">
        <v>1</v>
      </c>
      <c r="DV20" s="185">
        <v>2</v>
      </c>
      <c r="DW20" s="185">
        <v>2</v>
      </c>
      <c r="DX20" s="185">
        <v>5</v>
      </c>
      <c r="DY20" s="185">
        <v>1</v>
      </c>
      <c r="DZ20" s="185">
        <v>1</v>
      </c>
      <c r="EA20" s="185"/>
      <c r="EB20" s="185">
        <v>2</v>
      </c>
      <c r="EC20" s="185">
        <v>1</v>
      </c>
      <c r="ED20" s="185">
        <v>1</v>
      </c>
      <c r="EE20" s="169">
        <f>112-7</f>
        <v>105</v>
      </c>
      <c r="EF20" s="132">
        <f t="shared" si="19"/>
        <v>1098</v>
      </c>
      <c r="EG20" s="185">
        <v>5</v>
      </c>
      <c r="EH20" s="131">
        <v>1</v>
      </c>
      <c r="EI20" s="131"/>
      <c r="EJ20" s="130"/>
      <c r="EK20" s="130">
        <v>3</v>
      </c>
      <c r="EL20" s="130"/>
      <c r="EM20" s="130">
        <v>1</v>
      </c>
      <c r="EN20" s="130"/>
      <c r="EO20" s="130">
        <v>24</v>
      </c>
      <c r="EP20" s="130"/>
      <c r="EQ20" s="130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>
        <v>3</v>
      </c>
      <c r="FI20" s="132">
        <f t="shared" si="14"/>
        <v>32</v>
      </c>
      <c r="FJ20" s="185">
        <v>0</v>
      </c>
      <c r="FK20" s="130">
        <f t="shared" si="15"/>
        <v>1130</v>
      </c>
      <c r="FL20" s="130">
        <f t="shared" si="16"/>
        <v>5</v>
      </c>
      <c r="FM20" s="133">
        <f t="shared" si="17"/>
        <v>1103</v>
      </c>
      <c r="FN20" s="134">
        <f t="shared" si="18"/>
        <v>32</v>
      </c>
      <c r="FO20" s="67"/>
      <c r="FP20" s="67"/>
    </row>
    <row r="21" spans="1:172" x14ac:dyDescent="0.25">
      <c r="A21" s="14">
        <v>18</v>
      </c>
      <c r="B21" s="2" t="s">
        <v>22</v>
      </c>
      <c r="C21" s="15"/>
      <c r="D21" s="183">
        <v>-5</v>
      </c>
      <c r="E21" s="150">
        <v>62</v>
      </c>
      <c r="F21" s="150"/>
      <c r="G21" s="136"/>
      <c r="H21" s="136"/>
      <c r="I21" s="136"/>
      <c r="J21" s="136"/>
      <c r="K21" s="136"/>
      <c r="L21" s="136">
        <v>-1</v>
      </c>
      <c r="M21" s="136"/>
      <c r="N21" s="136">
        <v>-1</v>
      </c>
      <c r="O21" s="136"/>
      <c r="P21" s="136"/>
      <c r="Q21" s="183"/>
      <c r="R21" s="183"/>
      <c r="S21" s="183"/>
      <c r="T21" s="183"/>
      <c r="U21" s="183"/>
      <c r="V21" s="183"/>
      <c r="W21" s="183"/>
      <c r="X21" s="131">
        <v>60</v>
      </c>
      <c r="Y21" s="131">
        <v>4</v>
      </c>
      <c r="Z21" s="130"/>
      <c r="AA21" s="130">
        <v>1</v>
      </c>
      <c r="AB21" s="130">
        <v>9</v>
      </c>
      <c r="AC21" s="130">
        <v>3</v>
      </c>
      <c r="AD21" s="130">
        <v>3</v>
      </c>
      <c r="AE21" s="130">
        <v>12</v>
      </c>
      <c r="AF21" s="130">
        <v>2</v>
      </c>
      <c r="AG21" s="130">
        <v>1</v>
      </c>
      <c r="AH21" s="185">
        <v>3</v>
      </c>
      <c r="AI21" s="185">
        <v>4</v>
      </c>
      <c r="AJ21" s="185">
        <v>20</v>
      </c>
      <c r="AK21" s="185"/>
      <c r="AL21" s="185">
        <v>9</v>
      </c>
      <c r="AM21" s="185">
        <v>2</v>
      </c>
      <c r="AN21" s="184">
        <v>2</v>
      </c>
      <c r="AO21" s="185">
        <v>1</v>
      </c>
      <c r="AP21" s="185">
        <v>1</v>
      </c>
      <c r="AQ21" s="185">
        <v>2</v>
      </c>
      <c r="AR21" s="184">
        <v>3</v>
      </c>
      <c r="AS21" s="184">
        <v>3</v>
      </c>
      <c r="AT21" s="185">
        <v>7</v>
      </c>
      <c r="AU21" s="169">
        <f>6-1</f>
        <v>5</v>
      </c>
      <c r="AV21" s="184">
        <v>2</v>
      </c>
      <c r="AW21" s="173">
        <f>1-1</f>
        <v>0</v>
      </c>
      <c r="AX21" s="141">
        <v>0</v>
      </c>
      <c r="AY21" s="154">
        <f t="shared" si="12"/>
        <v>157</v>
      </c>
      <c r="AZ21" s="185">
        <v>1</v>
      </c>
      <c r="BA21" s="131">
        <v>2</v>
      </c>
      <c r="BB21" s="131"/>
      <c r="BC21" s="130"/>
      <c r="BD21" s="130"/>
      <c r="BE21" s="130"/>
      <c r="BF21" s="130"/>
      <c r="BG21" s="130"/>
      <c r="BH21" s="130">
        <v>1</v>
      </c>
      <c r="BI21" s="130"/>
      <c r="BJ21" s="130">
        <v>1</v>
      </c>
      <c r="BK21" s="185"/>
      <c r="BL21" s="185">
        <v>1</v>
      </c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4"/>
      <c r="BZ21" s="185"/>
      <c r="CA21" s="184">
        <v>0</v>
      </c>
      <c r="CB21" s="154">
        <f t="shared" si="13"/>
        <v>5</v>
      </c>
      <c r="CC21" s="185">
        <v>0</v>
      </c>
      <c r="CD21" s="130">
        <f t="shared" si="0"/>
        <v>162</v>
      </c>
      <c r="CE21" s="130">
        <f t="shared" si="1"/>
        <v>1</v>
      </c>
      <c r="CF21" s="133">
        <f t="shared" si="2"/>
        <v>153</v>
      </c>
      <c r="CG21" s="134">
        <f t="shared" si="3"/>
        <v>5</v>
      </c>
      <c r="CH21" s="14">
        <v>67</v>
      </c>
      <c r="CI21" s="2" t="s">
        <v>70</v>
      </c>
      <c r="CJ21" s="22"/>
      <c r="CK21" s="183"/>
      <c r="CL21" s="16">
        <v>125</v>
      </c>
      <c r="CM21" s="16"/>
      <c r="CN21" s="17">
        <v>-3</v>
      </c>
      <c r="CO21" s="17">
        <v>-5</v>
      </c>
      <c r="CP21" s="17"/>
      <c r="CQ21" s="17">
        <v>-3</v>
      </c>
      <c r="CR21" s="136">
        <v>-2</v>
      </c>
      <c r="CS21" s="136"/>
      <c r="CT21" s="136"/>
      <c r="CU21" s="136"/>
      <c r="CV21" s="136"/>
      <c r="CW21" s="136"/>
      <c r="CX21" s="183">
        <v>-3</v>
      </c>
      <c r="CY21" s="183"/>
      <c r="CZ21" s="183">
        <v>-4</v>
      </c>
      <c r="DA21" s="183">
        <v>-2</v>
      </c>
      <c r="DB21" s="183">
        <v>-2</v>
      </c>
      <c r="DC21" s="183"/>
      <c r="DD21" s="183"/>
      <c r="DE21" s="18">
        <v>126</v>
      </c>
      <c r="DF21" s="18">
        <v>10</v>
      </c>
      <c r="DG21" s="19">
        <v>8</v>
      </c>
      <c r="DH21" s="19">
        <v>34</v>
      </c>
      <c r="DI21" s="19">
        <f>59+1</f>
        <v>60</v>
      </c>
      <c r="DJ21" s="19">
        <v>3</v>
      </c>
      <c r="DK21" s="130">
        <v>19</v>
      </c>
      <c r="DL21" s="130">
        <v>21</v>
      </c>
      <c r="DM21" s="130">
        <v>4</v>
      </c>
      <c r="DN21" s="130">
        <v>3</v>
      </c>
      <c r="DO21" s="185">
        <v>12</v>
      </c>
      <c r="DP21" s="185">
        <v>6</v>
      </c>
      <c r="DQ21" s="185">
        <v>17</v>
      </c>
      <c r="DR21" s="185">
        <v>3</v>
      </c>
      <c r="DS21" s="185">
        <v>59</v>
      </c>
      <c r="DT21" s="185">
        <v>1</v>
      </c>
      <c r="DU21" s="169">
        <f>5-1</f>
        <v>4</v>
      </c>
      <c r="DV21" s="185">
        <v>12</v>
      </c>
      <c r="DW21" s="185">
        <v>8</v>
      </c>
      <c r="DX21" s="185">
        <v>1</v>
      </c>
      <c r="DY21" s="185">
        <v>2</v>
      </c>
      <c r="DZ21" s="185">
        <v>1</v>
      </c>
      <c r="EA21" s="169">
        <f>1-1</f>
        <v>0</v>
      </c>
      <c r="EB21" s="169">
        <f>2-1</f>
        <v>1</v>
      </c>
      <c r="EC21" s="169">
        <v>3</v>
      </c>
      <c r="ED21" s="185">
        <v>1</v>
      </c>
      <c r="EE21" s="185">
        <v>4</v>
      </c>
      <c r="EF21" s="132">
        <f t="shared" si="19"/>
        <v>399</v>
      </c>
      <c r="EG21" s="185">
        <v>1</v>
      </c>
      <c r="EH21" s="131">
        <v>1</v>
      </c>
      <c r="EI21" s="131">
        <v>1</v>
      </c>
      <c r="EJ21" s="130"/>
      <c r="EK21" s="130"/>
      <c r="EL21" s="130">
        <f>4-1</f>
        <v>3</v>
      </c>
      <c r="EM21" s="130"/>
      <c r="EN21" s="130"/>
      <c r="EO21" s="130"/>
      <c r="EP21" s="130"/>
      <c r="EQ21" s="130">
        <v>1</v>
      </c>
      <c r="ER21" s="185"/>
      <c r="ES21" s="185"/>
      <c r="ET21" s="185"/>
      <c r="EU21" s="185"/>
      <c r="EV21" s="185"/>
      <c r="EW21" s="185">
        <v>1</v>
      </c>
      <c r="EX21" s="185"/>
      <c r="EY21" s="185"/>
      <c r="EZ21" s="185"/>
      <c r="FA21" s="185"/>
      <c r="FB21" s="185"/>
      <c r="FC21" s="185"/>
      <c r="FD21" s="185"/>
      <c r="FE21" s="185"/>
      <c r="FF21" s="185"/>
      <c r="FG21" s="185"/>
      <c r="FH21" s="185"/>
      <c r="FI21" s="132">
        <f t="shared" si="14"/>
        <v>7</v>
      </c>
      <c r="FJ21" s="185">
        <v>0</v>
      </c>
      <c r="FK21" s="130">
        <f t="shared" si="15"/>
        <v>406</v>
      </c>
      <c r="FL21" s="130">
        <f t="shared" si="16"/>
        <v>1</v>
      </c>
      <c r="FM21" s="133">
        <f t="shared" si="17"/>
        <v>400</v>
      </c>
      <c r="FN21" s="135">
        <f t="shared" si="18"/>
        <v>7</v>
      </c>
      <c r="FO21" s="67"/>
      <c r="FP21" s="67"/>
    </row>
    <row r="22" spans="1:172" x14ac:dyDescent="0.25">
      <c r="A22" s="14">
        <v>19</v>
      </c>
      <c r="B22" s="2" t="s">
        <v>23</v>
      </c>
      <c r="C22" s="15"/>
      <c r="D22" s="183"/>
      <c r="E22" s="150">
        <v>54</v>
      </c>
      <c r="F22" s="150"/>
      <c r="G22" s="136">
        <v>-3</v>
      </c>
      <c r="H22" s="136"/>
      <c r="I22" s="136"/>
      <c r="J22" s="136">
        <v>-1</v>
      </c>
      <c r="K22" s="136"/>
      <c r="L22" s="136">
        <v>-2</v>
      </c>
      <c r="M22" s="136"/>
      <c r="N22" s="136"/>
      <c r="O22" s="136">
        <v>-1</v>
      </c>
      <c r="P22" s="136"/>
      <c r="Q22" s="183">
        <v>-1</v>
      </c>
      <c r="R22" s="183">
        <v>-1</v>
      </c>
      <c r="S22" s="183"/>
      <c r="T22" s="183">
        <v>-3</v>
      </c>
      <c r="U22" s="183"/>
      <c r="V22" s="183"/>
      <c r="W22" s="183"/>
      <c r="X22" s="131">
        <v>55</v>
      </c>
      <c r="Y22" s="131">
        <v>3</v>
      </c>
      <c r="Z22" s="130">
        <v>12</v>
      </c>
      <c r="AA22" s="130">
        <v>26</v>
      </c>
      <c r="AB22" s="130">
        <v>18</v>
      </c>
      <c r="AC22" s="130">
        <v>16</v>
      </c>
      <c r="AD22" s="130">
        <v>3</v>
      </c>
      <c r="AE22" s="130">
        <v>11</v>
      </c>
      <c r="AF22" s="130">
        <v>8</v>
      </c>
      <c r="AG22" s="130">
        <v>5</v>
      </c>
      <c r="AH22" s="185">
        <v>4</v>
      </c>
      <c r="AI22" s="185">
        <v>4</v>
      </c>
      <c r="AJ22" s="185">
        <v>4</v>
      </c>
      <c r="AK22" s="185">
        <v>3</v>
      </c>
      <c r="AL22" s="185">
        <v>4</v>
      </c>
      <c r="AM22" s="185">
        <v>4</v>
      </c>
      <c r="AN22" s="184">
        <v>3</v>
      </c>
      <c r="AO22" s="185">
        <v>6</v>
      </c>
      <c r="AP22" s="185">
        <v>1</v>
      </c>
      <c r="AQ22" s="185">
        <v>1</v>
      </c>
      <c r="AR22" s="169">
        <f>5-1</f>
        <v>4</v>
      </c>
      <c r="AS22" s="184">
        <v>1</v>
      </c>
      <c r="AT22" s="185">
        <f>1</f>
        <v>1</v>
      </c>
      <c r="AU22" s="228">
        <f>4-1-1</f>
        <v>2</v>
      </c>
      <c r="AV22" s="173">
        <f>2-1</f>
        <v>1</v>
      </c>
      <c r="AW22" s="185">
        <v>6</v>
      </c>
      <c r="AX22" s="184">
        <v>0</v>
      </c>
      <c r="AY22" s="154">
        <f t="shared" si="12"/>
        <v>194</v>
      </c>
      <c r="AZ22" s="185">
        <v>1</v>
      </c>
      <c r="BA22" s="131">
        <v>3</v>
      </c>
      <c r="BB22" s="131">
        <v>1</v>
      </c>
      <c r="BC22" s="130">
        <v>5</v>
      </c>
      <c r="BD22" s="130">
        <v>-2</v>
      </c>
      <c r="BE22" s="130">
        <v>2</v>
      </c>
      <c r="BF22" s="130">
        <v>3</v>
      </c>
      <c r="BG22" s="130">
        <v>3</v>
      </c>
      <c r="BH22" s="130">
        <v>5</v>
      </c>
      <c r="BI22" s="130">
        <v>1</v>
      </c>
      <c r="BJ22" s="130">
        <v>1</v>
      </c>
      <c r="BK22" s="185">
        <v>1</v>
      </c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229">
        <f>0+1</f>
        <v>1</v>
      </c>
      <c r="BY22" s="184"/>
      <c r="BZ22" s="185"/>
      <c r="CA22" s="184">
        <v>0</v>
      </c>
      <c r="CB22" s="154">
        <f t="shared" si="13"/>
        <v>24</v>
      </c>
      <c r="CC22" s="185">
        <v>0</v>
      </c>
      <c r="CD22" s="130">
        <f t="shared" si="0"/>
        <v>218</v>
      </c>
      <c r="CE22" s="130">
        <f t="shared" si="1"/>
        <v>1</v>
      </c>
      <c r="CF22" s="133">
        <f t="shared" si="2"/>
        <v>195</v>
      </c>
      <c r="CG22" s="134">
        <f t="shared" si="3"/>
        <v>24</v>
      </c>
      <c r="CH22" s="14">
        <v>68</v>
      </c>
      <c r="CI22" s="2" t="s">
        <v>71</v>
      </c>
      <c r="CJ22" s="22"/>
      <c r="CK22" s="183">
        <v>-3</v>
      </c>
      <c r="CL22" s="16">
        <v>84</v>
      </c>
      <c r="CM22" s="16"/>
      <c r="CN22" s="17"/>
      <c r="CO22" s="17">
        <v>-3</v>
      </c>
      <c r="CP22" s="17"/>
      <c r="CQ22" s="17"/>
      <c r="CR22" s="136">
        <v>-2</v>
      </c>
      <c r="CS22" s="136"/>
      <c r="CT22" s="136"/>
      <c r="CU22" s="136"/>
      <c r="CV22" s="136"/>
      <c r="CW22" s="136"/>
      <c r="CX22" s="183">
        <v>-1</v>
      </c>
      <c r="CY22" s="183"/>
      <c r="CZ22" s="183">
        <v>-1</v>
      </c>
      <c r="DA22" s="183"/>
      <c r="DB22" s="183"/>
      <c r="DC22" s="183"/>
      <c r="DD22" s="183"/>
      <c r="DE22" s="18">
        <v>104</v>
      </c>
      <c r="DF22" s="18">
        <v>4</v>
      </c>
      <c r="DG22" s="19">
        <v>10</v>
      </c>
      <c r="DH22" s="19">
        <v>10</v>
      </c>
      <c r="DI22" s="19">
        <v>16</v>
      </c>
      <c r="DJ22" s="19">
        <v>1</v>
      </c>
      <c r="DK22" s="130">
        <v>16</v>
      </c>
      <c r="DL22" s="130">
        <v>4</v>
      </c>
      <c r="DM22" s="130">
        <v>5</v>
      </c>
      <c r="DN22" s="130">
        <v>16</v>
      </c>
      <c r="DO22" s="185">
        <v>13</v>
      </c>
      <c r="DP22" s="185">
        <v>6</v>
      </c>
      <c r="DQ22" s="185">
        <v>6</v>
      </c>
      <c r="DR22" s="185">
        <v>6</v>
      </c>
      <c r="DS22" s="185">
        <v>13</v>
      </c>
      <c r="DT22" s="185">
        <v>3</v>
      </c>
      <c r="DU22" s="185">
        <v>8</v>
      </c>
      <c r="DV22" s="185">
        <v>2</v>
      </c>
      <c r="DW22" s="185">
        <v>3</v>
      </c>
      <c r="DX22" s="185">
        <v>7</v>
      </c>
      <c r="DY22" s="169">
        <f>9-1</f>
        <v>8</v>
      </c>
      <c r="DZ22" s="169">
        <f>14-2</f>
        <v>12</v>
      </c>
      <c r="EA22" s="169">
        <f>2-1</f>
        <v>1</v>
      </c>
      <c r="EB22" s="185">
        <v>12</v>
      </c>
      <c r="EC22" s="169">
        <v>6</v>
      </c>
      <c r="ED22" s="185">
        <v>1</v>
      </c>
      <c r="EE22" s="225">
        <f>7-5</f>
        <v>2</v>
      </c>
      <c r="EF22" s="132">
        <f t="shared" si="19"/>
        <v>288</v>
      </c>
      <c r="EG22" s="185">
        <v>5</v>
      </c>
      <c r="EH22" s="131"/>
      <c r="EI22" s="131"/>
      <c r="EJ22" s="130"/>
      <c r="EK22" s="130"/>
      <c r="EL22" s="130"/>
      <c r="EM22" s="130"/>
      <c r="EN22" s="130"/>
      <c r="EO22" s="130">
        <v>1</v>
      </c>
      <c r="EP22" s="130"/>
      <c r="EQ22" s="130">
        <v>5</v>
      </c>
      <c r="ER22" s="185"/>
      <c r="ES22" s="185"/>
      <c r="ET22" s="185"/>
      <c r="EU22" s="185"/>
      <c r="EV22" s="185"/>
      <c r="EW22" s="185"/>
      <c r="EX22" s="185"/>
      <c r="EY22" s="185">
        <v>1</v>
      </c>
      <c r="EZ22" s="185">
        <v>2</v>
      </c>
      <c r="FA22" s="185"/>
      <c r="FB22" s="185"/>
      <c r="FC22" s="185">
        <v>4</v>
      </c>
      <c r="FD22" s="185"/>
      <c r="FE22" s="185"/>
      <c r="FF22" s="185"/>
      <c r="FG22" s="185"/>
      <c r="FH22" s="227">
        <v>5</v>
      </c>
      <c r="FI22" s="132">
        <f t="shared" si="14"/>
        <v>18</v>
      </c>
      <c r="FJ22" s="185">
        <v>1</v>
      </c>
      <c r="FK22" s="130">
        <f t="shared" si="15"/>
        <v>306</v>
      </c>
      <c r="FL22" s="130">
        <f t="shared" si="16"/>
        <v>6</v>
      </c>
      <c r="FM22" s="133">
        <f t="shared" si="17"/>
        <v>290</v>
      </c>
      <c r="FN22" s="134">
        <f t="shared" si="18"/>
        <v>19</v>
      </c>
      <c r="FO22" s="67"/>
      <c r="FP22" s="67"/>
    </row>
    <row r="23" spans="1:172" x14ac:dyDescent="0.25">
      <c r="A23" s="14" t="s">
        <v>206</v>
      </c>
      <c r="B23" s="2" t="s">
        <v>208</v>
      </c>
      <c r="C23" s="15"/>
      <c r="D23" s="183">
        <v>-1</v>
      </c>
      <c r="E23" s="150">
        <v>32</v>
      </c>
      <c r="F23" s="150"/>
      <c r="G23" s="136">
        <v>-1</v>
      </c>
      <c r="H23" s="136"/>
      <c r="I23" s="136"/>
      <c r="J23" s="136">
        <v>-2</v>
      </c>
      <c r="K23" s="136"/>
      <c r="L23" s="136">
        <v>-1</v>
      </c>
      <c r="M23" s="136"/>
      <c r="N23" s="136"/>
      <c r="O23" s="136"/>
      <c r="P23" s="136"/>
      <c r="Q23" s="183"/>
      <c r="R23" s="183"/>
      <c r="S23" s="183"/>
      <c r="T23" s="183"/>
      <c r="U23" s="183"/>
      <c r="V23" s="183"/>
      <c r="W23" s="183">
        <v>-1</v>
      </c>
      <c r="X23" s="131">
        <v>34</v>
      </c>
      <c r="Y23" s="131"/>
      <c r="Z23" s="130">
        <v>2</v>
      </c>
      <c r="AA23" s="130">
        <v>1</v>
      </c>
      <c r="AB23" s="130">
        <v>1</v>
      </c>
      <c r="AC23" s="130">
        <v>26</v>
      </c>
      <c r="AD23" s="130"/>
      <c r="AE23" s="130">
        <v>2</v>
      </c>
      <c r="AF23" s="130"/>
      <c r="AG23" s="130"/>
      <c r="AH23" s="185">
        <v>5</v>
      </c>
      <c r="AI23" s="185"/>
      <c r="AJ23" s="185">
        <v>12</v>
      </c>
      <c r="AK23" s="185">
        <v>-57</v>
      </c>
      <c r="AL23" s="185">
        <v>3</v>
      </c>
      <c r="AM23" s="185"/>
      <c r="AN23" s="184"/>
      <c r="AO23" s="185">
        <v>1</v>
      </c>
      <c r="AP23" s="185">
        <v>1</v>
      </c>
      <c r="AQ23" s="185">
        <v>1</v>
      </c>
      <c r="AR23" s="169">
        <f>2-1</f>
        <v>1</v>
      </c>
      <c r="AS23" s="184">
        <v>1</v>
      </c>
      <c r="AT23" s="185">
        <v>0</v>
      </c>
      <c r="AU23" s="185">
        <v>1</v>
      </c>
      <c r="AV23" s="184">
        <v>1</v>
      </c>
      <c r="AW23" s="185">
        <v>0</v>
      </c>
      <c r="AX23" s="184">
        <v>0</v>
      </c>
      <c r="AY23" s="154">
        <f t="shared" si="12"/>
        <v>31</v>
      </c>
      <c r="AZ23" s="185">
        <v>1</v>
      </c>
      <c r="BA23" s="131"/>
      <c r="BB23" s="131"/>
      <c r="BC23" s="130"/>
      <c r="BD23" s="130"/>
      <c r="BE23" s="130"/>
      <c r="BF23" s="130"/>
      <c r="BG23" s="130"/>
      <c r="BH23" s="130"/>
      <c r="BI23" s="130"/>
      <c r="BJ23" s="130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4"/>
      <c r="BZ23" s="185"/>
      <c r="CA23" s="184">
        <v>0</v>
      </c>
      <c r="CB23" s="154">
        <f t="shared" si="13"/>
        <v>0</v>
      </c>
      <c r="CC23" s="185">
        <v>0</v>
      </c>
      <c r="CD23" s="130">
        <f t="shared" si="0"/>
        <v>31</v>
      </c>
      <c r="CE23" s="130">
        <f t="shared" si="1"/>
        <v>1</v>
      </c>
      <c r="CF23" s="133">
        <f t="shared" si="2"/>
        <v>31</v>
      </c>
      <c r="CG23" s="134">
        <f t="shared" si="3"/>
        <v>0</v>
      </c>
      <c r="CH23" s="14">
        <v>69</v>
      </c>
      <c r="CI23" s="2" t="s">
        <v>72</v>
      </c>
      <c r="CJ23" s="22"/>
      <c r="CK23" s="183">
        <v>-15</v>
      </c>
      <c r="CL23" s="16">
        <v>107</v>
      </c>
      <c r="CM23" s="16"/>
      <c r="CN23" s="17">
        <v>-9</v>
      </c>
      <c r="CO23" s="17"/>
      <c r="CP23" s="17">
        <v>-3</v>
      </c>
      <c r="CQ23" s="17">
        <v>-1</v>
      </c>
      <c r="CR23" s="136"/>
      <c r="CS23" s="136">
        <v>-6</v>
      </c>
      <c r="CT23" s="136"/>
      <c r="CU23" s="136"/>
      <c r="CV23" s="136">
        <v>-3</v>
      </c>
      <c r="CW23" s="136"/>
      <c r="CX23" s="183"/>
      <c r="CY23" s="183">
        <v>-2</v>
      </c>
      <c r="CZ23" s="183">
        <v>-1</v>
      </c>
      <c r="DA23" s="183"/>
      <c r="DB23" s="183">
        <v>-1</v>
      </c>
      <c r="DC23" s="183"/>
      <c r="DD23" s="183"/>
      <c r="DE23" s="18">
        <v>103</v>
      </c>
      <c r="DF23" s="18">
        <v>13</v>
      </c>
      <c r="DG23" s="19">
        <v>22</v>
      </c>
      <c r="DH23" s="19">
        <v>14</v>
      </c>
      <c r="DI23" s="19">
        <v>19</v>
      </c>
      <c r="DJ23" s="19">
        <v>57</v>
      </c>
      <c r="DK23" s="130">
        <v>16</v>
      </c>
      <c r="DL23" s="130">
        <f>56-1</f>
        <v>55</v>
      </c>
      <c r="DM23" s="130">
        <v>22</v>
      </c>
      <c r="DN23" s="130">
        <v>13</v>
      </c>
      <c r="DO23" s="185">
        <v>7</v>
      </c>
      <c r="DP23" s="185">
        <v>6</v>
      </c>
      <c r="DQ23" s="185">
        <v>7</v>
      </c>
      <c r="DR23" s="185">
        <v>67</v>
      </c>
      <c r="DS23" s="185">
        <v>9</v>
      </c>
      <c r="DT23" s="185">
        <v>8</v>
      </c>
      <c r="DU23" s="169">
        <f>4-1</f>
        <v>3</v>
      </c>
      <c r="DV23" s="185"/>
      <c r="DW23" s="185">
        <v>1</v>
      </c>
      <c r="DX23" s="185">
        <v>5</v>
      </c>
      <c r="DY23" s="169">
        <f>3-1</f>
        <v>2</v>
      </c>
      <c r="DZ23" s="185">
        <v>6</v>
      </c>
      <c r="EA23" s="185"/>
      <c r="EB23" s="185">
        <v>3</v>
      </c>
      <c r="EC23" s="169">
        <v>7</v>
      </c>
      <c r="ED23" s="185">
        <v>2</v>
      </c>
      <c r="EE23" s="169">
        <f>15-10</f>
        <v>5</v>
      </c>
      <c r="EF23" s="225">
        <v>447</v>
      </c>
      <c r="EG23" s="185">
        <v>5</v>
      </c>
      <c r="EH23" s="131">
        <v>5</v>
      </c>
      <c r="EI23" s="131">
        <v>3</v>
      </c>
      <c r="EJ23" s="130">
        <v>1</v>
      </c>
      <c r="EK23" s="130"/>
      <c r="EL23" s="130"/>
      <c r="EM23" s="130"/>
      <c r="EN23" s="130">
        <v>18</v>
      </c>
      <c r="EO23" s="130">
        <f>9+1</f>
        <v>10</v>
      </c>
      <c r="EP23" s="130">
        <v>2</v>
      </c>
      <c r="EQ23" s="130"/>
      <c r="ER23" s="185">
        <v>1</v>
      </c>
      <c r="ES23" s="185">
        <v>1</v>
      </c>
      <c r="ET23" s="185">
        <v>1</v>
      </c>
      <c r="EU23" s="185"/>
      <c r="EV23" s="185">
        <v>1</v>
      </c>
      <c r="EW23" s="185"/>
      <c r="EX23" s="185"/>
      <c r="EY23" s="185">
        <v>1</v>
      </c>
      <c r="EZ23" s="185"/>
      <c r="FA23" s="185"/>
      <c r="FB23" s="185"/>
      <c r="FC23" s="185"/>
      <c r="FD23" s="185"/>
      <c r="FE23" s="185"/>
      <c r="FF23" s="185"/>
      <c r="FG23" s="185">
        <v>2</v>
      </c>
      <c r="FH23" s="185"/>
      <c r="FI23" s="225">
        <v>45</v>
      </c>
      <c r="FJ23" s="185">
        <v>0</v>
      </c>
      <c r="FK23" s="130">
        <f t="shared" si="15"/>
        <v>492</v>
      </c>
      <c r="FL23" s="130">
        <f t="shared" si="16"/>
        <v>5</v>
      </c>
      <c r="FM23" s="133">
        <f t="shared" si="17"/>
        <v>437</v>
      </c>
      <c r="FN23" s="134">
        <f t="shared" si="18"/>
        <v>45</v>
      </c>
      <c r="FO23" s="67"/>
      <c r="FP23" s="67"/>
    </row>
    <row r="24" spans="1:172" x14ac:dyDescent="0.25">
      <c r="A24" s="14" t="s">
        <v>207</v>
      </c>
      <c r="B24" s="2" t="s">
        <v>209</v>
      </c>
      <c r="C24" s="15"/>
      <c r="D24" s="183"/>
      <c r="E24" s="150"/>
      <c r="F24" s="150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83"/>
      <c r="R24" s="183"/>
      <c r="S24" s="183"/>
      <c r="T24" s="183"/>
      <c r="U24" s="183"/>
      <c r="V24" s="183"/>
      <c r="W24" s="183"/>
      <c r="X24" s="131"/>
      <c r="Y24" s="131"/>
      <c r="Z24" s="130"/>
      <c r="AA24" s="130"/>
      <c r="AB24" s="130"/>
      <c r="AC24" s="130"/>
      <c r="AD24" s="130"/>
      <c r="AE24" s="130"/>
      <c r="AF24" s="130"/>
      <c r="AG24" s="130"/>
      <c r="AH24" s="185"/>
      <c r="AI24" s="185"/>
      <c r="AJ24" s="185"/>
      <c r="AK24" s="185">
        <v>57</v>
      </c>
      <c r="AL24" s="185"/>
      <c r="AM24" s="185">
        <v>5</v>
      </c>
      <c r="AN24" s="184">
        <v>5</v>
      </c>
      <c r="AO24" s="185">
        <v>2</v>
      </c>
      <c r="AP24" s="185">
        <v>1</v>
      </c>
      <c r="AQ24" s="185">
        <v>1</v>
      </c>
      <c r="AR24" s="184">
        <v>5</v>
      </c>
      <c r="AS24" s="184">
        <v>5</v>
      </c>
      <c r="AT24" s="185">
        <v>0</v>
      </c>
      <c r="AU24" s="185">
        <v>1</v>
      </c>
      <c r="AV24" s="184">
        <v>0</v>
      </c>
      <c r="AW24" s="185">
        <v>1</v>
      </c>
      <c r="AX24" s="184">
        <v>0</v>
      </c>
      <c r="AY24" s="154">
        <f t="shared" si="12"/>
        <v>83</v>
      </c>
      <c r="AZ24" s="185">
        <v>1</v>
      </c>
      <c r="BA24" s="131"/>
      <c r="BB24" s="131"/>
      <c r="BC24" s="130"/>
      <c r="BD24" s="130"/>
      <c r="BE24" s="130"/>
      <c r="BF24" s="130"/>
      <c r="BG24" s="130"/>
      <c r="BH24" s="130"/>
      <c r="BI24" s="130"/>
      <c r="BJ24" s="130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>
        <v>1</v>
      </c>
      <c r="BV24" s="185"/>
      <c r="BW24" s="185"/>
      <c r="BX24" s="185"/>
      <c r="BY24" s="184"/>
      <c r="BZ24" s="185"/>
      <c r="CA24" s="184">
        <v>0</v>
      </c>
      <c r="CB24" s="154">
        <f t="shared" si="13"/>
        <v>1</v>
      </c>
      <c r="CC24" s="185">
        <v>0</v>
      </c>
      <c r="CD24" s="130">
        <f t="shared" si="0"/>
        <v>84</v>
      </c>
      <c r="CE24" s="130">
        <f t="shared" si="1"/>
        <v>1</v>
      </c>
      <c r="CF24" s="133">
        <f t="shared" si="2"/>
        <v>84</v>
      </c>
      <c r="CG24" s="134">
        <f t="shared" si="3"/>
        <v>1</v>
      </c>
      <c r="CH24" s="14">
        <v>70</v>
      </c>
      <c r="CI24" s="2" t="s">
        <v>73</v>
      </c>
      <c r="CJ24" s="22"/>
      <c r="CK24" s="183"/>
      <c r="CL24" s="16">
        <v>70</v>
      </c>
      <c r="CM24" s="16"/>
      <c r="CN24" s="17"/>
      <c r="CO24" s="17"/>
      <c r="CP24" s="17"/>
      <c r="CQ24" s="17">
        <v>-1</v>
      </c>
      <c r="CR24" s="136">
        <v>-1</v>
      </c>
      <c r="CS24" s="136"/>
      <c r="CT24" s="136"/>
      <c r="CU24" s="136"/>
      <c r="CV24" s="136"/>
      <c r="CW24" s="136"/>
      <c r="CX24" s="183"/>
      <c r="CY24" s="183"/>
      <c r="CZ24" s="183"/>
      <c r="DA24" s="183"/>
      <c r="DB24" s="183"/>
      <c r="DC24" s="183"/>
      <c r="DD24" s="183"/>
      <c r="DE24" s="18">
        <v>70</v>
      </c>
      <c r="DF24" s="18"/>
      <c r="DG24" s="19"/>
      <c r="DH24" s="19"/>
      <c r="DI24" s="19">
        <v>4</v>
      </c>
      <c r="DJ24" s="19">
        <v>7</v>
      </c>
      <c r="DK24" s="130">
        <v>9</v>
      </c>
      <c r="DL24" s="130">
        <v>3</v>
      </c>
      <c r="DM24" s="130"/>
      <c r="DN24" s="130"/>
      <c r="DO24" s="185"/>
      <c r="DP24" s="185">
        <v>1</v>
      </c>
      <c r="DQ24" s="185">
        <v>2</v>
      </c>
      <c r="DR24" s="185">
        <v>2</v>
      </c>
      <c r="DS24" s="185">
        <v>3</v>
      </c>
      <c r="DT24" s="185"/>
      <c r="DU24" s="185">
        <v>1</v>
      </c>
      <c r="DV24" s="185"/>
      <c r="DW24" s="185">
        <v>5</v>
      </c>
      <c r="DX24" s="185">
        <v>11</v>
      </c>
      <c r="DY24" s="185">
        <v>2</v>
      </c>
      <c r="DZ24" s="169">
        <f>3-1</f>
        <v>2</v>
      </c>
      <c r="EA24" s="185">
        <v>2</v>
      </c>
      <c r="EB24" s="185">
        <v>1</v>
      </c>
      <c r="EC24" s="185">
        <v>1</v>
      </c>
      <c r="ED24" s="185">
        <v>3</v>
      </c>
      <c r="EE24" s="169">
        <f>1-1</f>
        <v>0</v>
      </c>
      <c r="EF24" s="132">
        <f t="shared" si="19"/>
        <v>127</v>
      </c>
      <c r="EG24" s="185">
        <v>2</v>
      </c>
      <c r="EH24" s="131"/>
      <c r="EI24" s="131"/>
      <c r="EJ24" s="130"/>
      <c r="EK24" s="130"/>
      <c r="EL24" s="130"/>
      <c r="EM24" s="130"/>
      <c r="EN24" s="130"/>
      <c r="EO24" s="130"/>
      <c r="EP24" s="130"/>
      <c r="EQ24" s="130"/>
      <c r="ER24" s="185"/>
      <c r="ES24" s="185"/>
      <c r="ET24" s="185"/>
      <c r="EU24" s="185"/>
      <c r="EV24" s="185"/>
      <c r="EW24" s="185"/>
      <c r="EX24" s="185"/>
      <c r="EY24" s="185">
        <v>1</v>
      </c>
      <c r="EZ24" s="185"/>
      <c r="FA24" s="185"/>
      <c r="FB24" s="185"/>
      <c r="FC24" s="185">
        <v>0</v>
      </c>
      <c r="FD24" s="185">
        <v>1</v>
      </c>
      <c r="FE24" s="185"/>
      <c r="FF24" s="185"/>
      <c r="FG24" s="185">
        <v>1</v>
      </c>
      <c r="FH24" s="185"/>
      <c r="FI24" s="132">
        <f t="shared" si="14"/>
        <v>3</v>
      </c>
      <c r="FJ24" s="185">
        <v>0</v>
      </c>
      <c r="FK24" s="130">
        <f t="shared" si="15"/>
        <v>130</v>
      </c>
      <c r="FL24" s="130">
        <f t="shared" si="16"/>
        <v>2</v>
      </c>
      <c r="FM24" s="133">
        <f t="shared" si="17"/>
        <v>129</v>
      </c>
      <c r="FN24" s="134">
        <f t="shared" si="18"/>
        <v>3</v>
      </c>
      <c r="FO24" s="67"/>
      <c r="FP24" s="67"/>
    </row>
    <row r="25" spans="1:172" x14ac:dyDescent="0.25">
      <c r="A25" s="14">
        <v>21</v>
      </c>
      <c r="B25" s="2" t="s">
        <v>24</v>
      </c>
      <c r="C25" s="15"/>
      <c r="D25" s="183">
        <v>-1</v>
      </c>
      <c r="E25" s="150">
        <v>161</v>
      </c>
      <c r="F25" s="150">
        <v>-1</v>
      </c>
      <c r="G25" s="136"/>
      <c r="H25" s="136">
        <v>-2</v>
      </c>
      <c r="I25" s="136">
        <v>-7</v>
      </c>
      <c r="J25" s="136"/>
      <c r="K25" s="136"/>
      <c r="L25" s="136"/>
      <c r="M25" s="136">
        <v>-2</v>
      </c>
      <c r="N25" s="136">
        <v>-2</v>
      </c>
      <c r="O25" s="136"/>
      <c r="P25" s="136">
        <v>-1</v>
      </c>
      <c r="Q25" s="183">
        <v>-3</v>
      </c>
      <c r="R25" s="183">
        <v>-4</v>
      </c>
      <c r="S25" s="183">
        <v>-7</v>
      </c>
      <c r="T25" s="183"/>
      <c r="U25" s="183"/>
      <c r="V25" s="183"/>
      <c r="W25" s="183"/>
      <c r="X25" s="131">
        <v>159</v>
      </c>
      <c r="Y25" s="131">
        <v>1</v>
      </c>
      <c r="Z25" s="130">
        <v>5</v>
      </c>
      <c r="AA25" s="130">
        <v>13</v>
      </c>
      <c r="AB25" s="130">
        <v>45</v>
      </c>
      <c r="AC25" s="130">
        <v>19</v>
      </c>
      <c r="AD25" s="130"/>
      <c r="AE25" s="130">
        <v>14</v>
      </c>
      <c r="AF25" s="130">
        <v>15</v>
      </c>
      <c r="AG25" s="130">
        <v>15</v>
      </c>
      <c r="AH25" s="185">
        <v>12</v>
      </c>
      <c r="AI25" s="185">
        <v>11</v>
      </c>
      <c r="AJ25" s="185">
        <v>21</v>
      </c>
      <c r="AK25" s="185">
        <v>14</v>
      </c>
      <c r="AL25" s="185">
        <v>22</v>
      </c>
      <c r="AM25" s="185">
        <v>7</v>
      </c>
      <c r="AN25" s="184">
        <v>6</v>
      </c>
      <c r="AO25" s="185">
        <v>3</v>
      </c>
      <c r="AP25" s="185">
        <v>1</v>
      </c>
      <c r="AQ25" s="185">
        <v>7</v>
      </c>
      <c r="AR25" s="169">
        <f>4-2</f>
        <v>2</v>
      </c>
      <c r="AS25" s="184">
        <v>3</v>
      </c>
      <c r="AT25" s="185">
        <v>0</v>
      </c>
      <c r="AU25" s="169">
        <f>48-4</f>
        <v>44</v>
      </c>
      <c r="AV25" s="184">
        <v>1</v>
      </c>
      <c r="AW25" s="185">
        <v>2</v>
      </c>
      <c r="AX25" s="184">
        <v>0</v>
      </c>
      <c r="AY25" s="154">
        <f t="shared" si="12"/>
        <v>413</v>
      </c>
      <c r="AZ25" s="185">
        <v>6</v>
      </c>
      <c r="BA25" s="131">
        <v>4</v>
      </c>
      <c r="BB25" s="131"/>
      <c r="BC25" s="130"/>
      <c r="BD25" s="130"/>
      <c r="BE25" s="130"/>
      <c r="BF25" s="130">
        <v>2</v>
      </c>
      <c r="BG25" s="130"/>
      <c r="BH25" s="130"/>
      <c r="BI25" s="130"/>
      <c r="BJ25" s="130">
        <v>4</v>
      </c>
      <c r="BK25" s="185">
        <v>1</v>
      </c>
      <c r="BL25" s="185"/>
      <c r="BM25" s="185">
        <v>4</v>
      </c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4"/>
      <c r="BZ25" s="185"/>
      <c r="CA25" s="184">
        <v>0</v>
      </c>
      <c r="CB25" s="154">
        <f t="shared" si="13"/>
        <v>15</v>
      </c>
      <c r="CC25" s="185">
        <v>0</v>
      </c>
      <c r="CD25" s="130">
        <f t="shared" si="0"/>
        <v>428</v>
      </c>
      <c r="CE25" s="130">
        <f t="shared" si="1"/>
        <v>6</v>
      </c>
      <c r="CF25" s="133">
        <f t="shared" si="2"/>
        <v>418</v>
      </c>
      <c r="CG25" s="134">
        <f t="shared" si="3"/>
        <v>15</v>
      </c>
      <c r="CH25" s="14">
        <v>71</v>
      </c>
      <c r="CI25" s="2" t="s">
        <v>74</v>
      </c>
      <c r="CJ25" s="22"/>
      <c r="CK25" s="183">
        <v>-5</v>
      </c>
      <c r="CL25" s="16">
        <v>28</v>
      </c>
      <c r="CM25" s="16"/>
      <c r="CN25" s="17">
        <v>-2</v>
      </c>
      <c r="CO25" s="17"/>
      <c r="CP25" s="17">
        <v>-1</v>
      </c>
      <c r="CQ25" s="17">
        <v>-1</v>
      </c>
      <c r="CR25" s="136">
        <v>-1</v>
      </c>
      <c r="CS25" s="136">
        <v>-1</v>
      </c>
      <c r="CT25" s="136"/>
      <c r="CU25" s="136"/>
      <c r="CV25" s="136"/>
      <c r="CW25" s="136"/>
      <c r="CX25" s="183"/>
      <c r="CY25" s="183">
        <v>-2</v>
      </c>
      <c r="CZ25" s="183">
        <v>-2</v>
      </c>
      <c r="DA25" s="183"/>
      <c r="DB25" s="183"/>
      <c r="DC25" s="183"/>
      <c r="DD25" s="183">
        <v>-1</v>
      </c>
      <c r="DE25" s="18">
        <v>29</v>
      </c>
      <c r="DF25" s="18">
        <v>4</v>
      </c>
      <c r="DG25" s="19">
        <v>8</v>
      </c>
      <c r="DH25" s="19">
        <v>4</v>
      </c>
      <c r="DI25" s="19">
        <v>16</v>
      </c>
      <c r="DJ25" s="19">
        <v>8</v>
      </c>
      <c r="DK25" s="130">
        <v>18</v>
      </c>
      <c r="DL25" s="130">
        <v>4</v>
      </c>
      <c r="DM25" s="130">
        <v>7</v>
      </c>
      <c r="DN25" s="130">
        <v>8</v>
      </c>
      <c r="DO25" s="185">
        <v>1</v>
      </c>
      <c r="DP25" s="185">
        <v>9</v>
      </c>
      <c r="DQ25" s="185">
        <v>5</v>
      </c>
      <c r="DR25" s="185">
        <v>26</v>
      </c>
      <c r="DS25" s="185">
        <v>9</v>
      </c>
      <c r="DT25" s="185">
        <v>4</v>
      </c>
      <c r="DU25" s="169">
        <f>8-1</f>
        <v>7</v>
      </c>
      <c r="DV25" s="185"/>
      <c r="DW25" s="185">
        <v>3</v>
      </c>
      <c r="DX25" s="185">
        <v>32</v>
      </c>
      <c r="DY25" s="185">
        <v>6</v>
      </c>
      <c r="DZ25" s="185">
        <v>1</v>
      </c>
      <c r="EA25" s="185">
        <v>6</v>
      </c>
      <c r="EB25" s="185">
        <v>4</v>
      </c>
      <c r="EC25" s="169">
        <v>3</v>
      </c>
      <c r="ED25" s="185">
        <v>2</v>
      </c>
      <c r="EE25" s="169">
        <f>2-3</f>
        <v>-1</v>
      </c>
      <c r="EF25" s="132">
        <f t="shared" si="19"/>
        <v>212</v>
      </c>
      <c r="EG25" s="185">
        <v>1</v>
      </c>
      <c r="EH25" s="131">
        <v>2</v>
      </c>
      <c r="EI25" s="131"/>
      <c r="EJ25" s="130"/>
      <c r="EK25" s="130"/>
      <c r="EL25" s="130">
        <v>1</v>
      </c>
      <c r="EM25" s="130">
        <v>1</v>
      </c>
      <c r="EN25" s="130"/>
      <c r="EO25" s="130"/>
      <c r="EP25" s="130"/>
      <c r="EQ25" s="130"/>
      <c r="ER25" s="185"/>
      <c r="ES25" s="185"/>
      <c r="ET25" s="185"/>
      <c r="EU25" s="185">
        <v>1</v>
      </c>
      <c r="EV25" s="185"/>
      <c r="EW25" s="185"/>
      <c r="EX25" s="185"/>
      <c r="EY25" s="185"/>
      <c r="EZ25" s="185"/>
      <c r="FA25" s="185"/>
      <c r="FB25" s="185"/>
      <c r="FC25" s="185"/>
      <c r="FD25" s="185"/>
      <c r="FE25" s="185"/>
      <c r="FF25" s="185"/>
      <c r="FG25" s="185"/>
      <c r="FH25" s="185"/>
      <c r="FI25" s="132">
        <f t="shared" si="14"/>
        <v>5</v>
      </c>
      <c r="FJ25" s="185">
        <v>0</v>
      </c>
      <c r="FK25" s="130">
        <f t="shared" si="15"/>
        <v>217</v>
      </c>
      <c r="FL25" s="130">
        <f t="shared" si="16"/>
        <v>1</v>
      </c>
      <c r="FM25" s="133">
        <f t="shared" si="17"/>
        <v>208</v>
      </c>
      <c r="FN25" s="134">
        <f t="shared" si="18"/>
        <v>5</v>
      </c>
      <c r="FO25" s="67"/>
      <c r="FP25" s="67"/>
    </row>
    <row r="26" spans="1:172" x14ac:dyDescent="0.25">
      <c r="A26" s="14">
        <v>22</v>
      </c>
      <c r="B26" s="2" t="s">
        <v>25</v>
      </c>
      <c r="C26" s="15"/>
      <c r="D26" s="183"/>
      <c r="E26" s="150">
        <v>111</v>
      </c>
      <c r="F26" s="150"/>
      <c r="G26" s="136"/>
      <c r="H26" s="136"/>
      <c r="I26" s="136">
        <v>-2</v>
      </c>
      <c r="J26" s="136">
        <v>-1</v>
      </c>
      <c r="K26" s="136">
        <v>-3</v>
      </c>
      <c r="L26" s="136">
        <v>-2</v>
      </c>
      <c r="M26" s="136">
        <v>-3</v>
      </c>
      <c r="N26" s="136"/>
      <c r="O26" s="136"/>
      <c r="P26" s="136"/>
      <c r="Q26" s="183"/>
      <c r="R26" s="183">
        <v>-3</v>
      </c>
      <c r="S26" s="183"/>
      <c r="T26" s="183"/>
      <c r="U26" s="183"/>
      <c r="V26" s="183">
        <v>-1</v>
      </c>
      <c r="W26" s="183"/>
      <c r="X26" s="131">
        <v>107</v>
      </c>
      <c r="Y26" s="131">
        <v>19</v>
      </c>
      <c r="Z26" s="130">
        <v>9</v>
      </c>
      <c r="AA26" s="130">
        <v>9</v>
      </c>
      <c r="AB26" s="130">
        <v>21</v>
      </c>
      <c r="AC26" s="130">
        <v>13</v>
      </c>
      <c r="AD26" s="130">
        <v>8</v>
      </c>
      <c r="AE26" s="130">
        <f>12-1</f>
        <v>11</v>
      </c>
      <c r="AF26" s="130">
        <v>16</v>
      </c>
      <c r="AG26" s="130">
        <v>8</v>
      </c>
      <c r="AH26" s="185"/>
      <c r="AI26" s="185">
        <v>14</v>
      </c>
      <c r="AJ26" s="185">
        <v>5</v>
      </c>
      <c r="AK26" s="185">
        <v>2</v>
      </c>
      <c r="AL26" s="185">
        <v>10</v>
      </c>
      <c r="AM26" s="185">
        <v>9</v>
      </c>
      <c r="AN26" s="169">
        <f>5-1</f>
        <v>4</v>
      </c>
      <c r="AO26" s="169">
        <f>2+1</f>
        <v>3</v>
      </c>
      <c r="AP26" s="185">
        <v>12</v>
      </c>
      <c r="AQ26" s="185">
        <v>1</v>
      </c>
      <c r="AR26" s="184">
        <v>2</v>
      </c>
      <c r="AS26" s="184">
        <v>1</v>
      </c>
      <c r="AT26" s="169">
        <f>17-1</f>
        <v>16</v>
      </c>
      <c r="AU26" s="228">
        <f>2+1</f>
        <v>3</v>
      </c>
      <c r="AV26" s="184">
        <v>1</v>
      </c>
      <c r="AW26" s="173">
        <f>2-1</f>
        <v>1</v>
      </c>
      <c r="AX26" s="173">
        <f>3-1</f>
        <v>2</v>
      </c>
      <c r="AY26" s="154">
        <f t="shared" si="12"/>
        <v>292</v>
      </c>
      <c r="AZ26" s="185">
        <v>2</v>
      </c>
      <c r="BA26" s="131">
        <v>6</v>
      </c>
      <c r="BB26" s="131">
        <v>1</v>
      </c>
      <c r="BC26" s="130">
        <v>5</v>
      </c>
      <c r="BD26" s="130">
        <v>-1</v>
      </c>
      <c r="BE26" s="130">
        <v>1</v>
      </c>
      <c r="BF26" s="130">
        <v>1</v>
      </c>
      <c r="BG26" s="130"/>
      <c r="BH26" s="130">
        <f>3+1</f>
        <v>4</v>
      </c>
      <c r="BI26" s="130">
        <v>7</v>
      </c>
      <c r="BJ26" s="130"/>
      <c r="BK26" s="185"/>
      <c r="BL26" s="185">
        <v>1</v>
      </c>
      <c r="BM26" s="185"/>
      <c r="BN26" s="185">
        <v>1</v>
      </c>
      <c r="BO26" s="185">
        <v>1</v>
      </c>
      <c r="BP26" s="185">
        <v>4</v>
      </c>
      <c r="BQ26" s="185">
        <v>3</v>
      </c>
      <c r="BR26" s="169">
        <f>7-1</f>
        <v>6</v>
      </c>
      <c r="BS26" s="185"/>
      <c r="BT26" s="185"/>
      <c r="BU26" s="185">
        <v>2</v>
      </c>
      <c r="BV26" s="185">
        <v>1</v>
      </c>
      <c r="BW26" s="185"/>
      <c r="BX26" s="229">
        <v>-1</v>
      </c>
      <c r="BY26" s="184"/>
      <c r="BZ26" s="185">
        <v>1</v>
      </c>
      <c r="CA26" s="184">
        <v>0</v>
      </c>
      <c r="CB26" s="154">
        <f t="shared" si="13"/>
        <v>43</v>
      </c>
      <c r="CC26" s="185">
        <v>1</v>
      </c>
      <c r="CD26" s="130">
        <f t="shared" si="0"/>
        <v>335</v>
      </c>
      <c r="CE26" s="130">
        <f t="shared" si="1"/>
        <v>3</v>
      </c>
      <c r="CF26" s="133">
        <f t="shared" si="2"/>
        <v>294</v>
      </c>
      <c r="CG26" s="134">
        <f t="shared" si="3"/>
        <v>44</v>
      </c>
      <c r="CH26" s="14">
        <v>72</v>
      </c>
      <c r="CI26" s="2" t="s">
        <v>75</v>
      </c>
      <c r="CJ26" s="22"/>
      <c r="CK26" s="183">
        <v>-1</v>
      </c>
      <c r="CL26" s="16">
        <v>47</v>
      </c>
      <c r="CM26" s="16">
        <v>-1</v>
      </c>
      <c r="CN26" s="17"/>
      <c r="CO26" s="17"/>
      <c r="CP26" s="17">
        <v>-1</v>
      </c>
      <c r="CQ26" s="17">
        <v>-2</v>
      </c>
      <c r="CR26" s="136"/>
      <c r="CS26" s="136"/>
      <c r="CT26" s="136"/>
      <c r="CU26" s="136">
        <v>-1</v>
      </c>
      <c r="CV26" s="136">
        <v>-1</v>
      </c>
      <c r="CW26" s="136">
        <v>-3</v>
      </c>
      <c r="CX26" s="183">
        <v>-2</v>
      </c>
      <c r="CY26" s="183"/>
      <c r="CZ26" s="183"/>
      <c r="DA26" s="183"/>
      <c r="DB26" s="183"/>
      <c r="DC26" s="183">
        <v>-1</v>
      </c>
      <c r="DD26" s="183"/>
      <c r="DE26" s="18">
        <v>76</v>
      </c>
      <c r="DF26" s="18">
        <v>28</v>
      </c>
      <c r="DG26" s="19">
        <v>8</v>
      </c>
      <c r="DH26" s="19">
        <v>1</v>
      </c>
      <c r="DI26" s="19">
        <v>15</v>
      </c>
      <c r="DJ26" s="19">
        <v>2</v>
      </c>
      <c r="DK26" s="130">
        <v>3</v>
      </c>
      <c r="DL26" s="130">
        <v>4</v>
      </c>
      <c r="DM26" s="130">
        <v>2</v>
      </c>
      <c r="DN26" s="130">
        <v>20</v>
      </c>
      <c r="DO26" s="185">
        <v>5</v>
      </c>
      <c r="DP26" s="185">
        <v>7</v>
      </c>
      <c r="DQ26" s="185">
        <v>16</v>
      </c>
      <c r="DR26" s="185">
        <v>9</v>
      </c>
      <c r="DS26" s="185">
        <v>15</v>
      </c>
      <c r="DT26" s="185">
        <v>1</v>
      </c>
      <c r="DU26" s="169">
        <f>1-2</f>
        <v>-1</v>
      </c>
      <c r="DV26" s="185">
        <v>4</v>
      </c>
      <c r="DW26" s="185">
        <v>1</v>
      </c>
      <c r="DX26" s="185">
        <v>11</v>
      </c>
      <c r="DY26" s="185">
        <v>3</v>
      </c>
      <c r="DZ26" s="185">
        <v>10</v>
      </c>
      <c r="EA26" s="185">
        <v>6</v>
      </c>
      <c r="EB26" s="185">
        <v>8</v>
      </c>
      <c r="EC26" s="185">
        <v>1</v>
      </c>
      <c r="ED26" s="169">
        <f>1-1</f>
        <v>0</v>
      </c>
      <c r="EE26" s="169">
        <f>2-1</f>
        <v>1</v>
      </c>
      <c r="EF26" s="132">
        <f t="shared" si="19"/>
        <v>244</v>
      </c>
      <c r="EG26" s="185">
        <v>7</v>
      </c>
      <c r="EH26" s="131"/>
      <c r="EI26" s="131">
        <v>1</v>
      </c>
      <c r="EJ26" s="130"/>
      <c r="EK26" s="130"/>
      <c r="EL26" s="130"/>
      <c r="EM26" s="130"/>
      <c r="EN26" s="130">
        <v>2</v>
      </c>
      <c r="EO26" s="130"/>
      <c r="EP26" s="130"/>
      <c r="EQ26" s="130"/>
      <c r="ER26" s="185"/>
      <c r="ES26" s="185"/>
      <c r="ET26" s="185">
        <v>4</v>
      </c>
      <c r="EU26" s="185"/>
      <c r="EV26" s="185">
        <v>5</v>
      </c>
      <c r="EW26" s="185">
        <v>2</v>
      </c>
      <c r="EX26" s="185">
        <v>1</v>
      </c>
      <c r="EY26" s="185"/>
      <c r="EZ26" s="185"/>
      <c r="FA26" s="185">
        <v>1</v>
      </c>
      <c r="FB26" s="185"/>
      <c r="FC26" s="185"/>
      <c r="FD26" s="185"/>
      <c r="FE26" s="185"/>
      <c r="FF26" s="185"/>
      <c r="FG26" s="185"/>
      <c r="FH26" s="185"/>
      <c r="FI26" s="132">
        <f t="shared" si="14"/>
        <v>16</v>
      </c>
      <c r="FJ26" s="185">
        <v>1</v>
      </c>
      <c r="FK26" s="130">
        <f t="shared" si="15"/>
        <v>260</v>
      </c>
      <c r="FL26" s="130">
        <f t="shared" si="16"/>
        <v>8</v>
      </c>
      <c r="FM26" s="133">
        <f t="shared" si="17"/>
        <v>250</v>
      </c>
      <c r="FN26" s="134">
        <f t="shared" si="18"/>
        <v>17</v>
      </c>
      <c r="FO26" s="67"/>
      <c r="FP26" s="67"/>
    </row>
    <row r="27" spans="1:172" x14ac:dyDescent="0.25">
      <c r="A27" s="14">
        <v>23</v>
      </c>
      <c r="B27" s="2" t="s">
        <v>26</v>
      </c>
      <c r="C27" s="15"/>
      <c r="D27" s="183"/>
      <c r="E27" s="150">
        <v>17</v>
      </c>
      <c r="F27" s="150"/>
      <c r="G27" s="136"/>
      <c r="H27" s="136"/>
      <c r="I27" s="136"/>
      <c r="J27" s="136">
        <v>-1</v>
      </c>
      <c r="K27" s="136"/>
      <c r="L27" s="136"/>
      <c r="M27" s="136"/>
      <c r="N27" s="136"/>
      <c r="O27" s="136"/>
      <c r="P27" s="136"/>
      <c r="Q27" s="183"/>
      <c r="R27" s="183"/>
      <c r="S27" s="183"/>
      <c r="T27" s="183">
        <v>-6</v>
      </c>
      <c r="U27" s="183"/>
      <c r="V27" s="183"/>
      <c r="W27" s="183"/>
      <c r="X27" s="131">
        <v>17</v>
      </c>
      <c r="Y27" s="131"/>
      <c r="Z27" s="130"/>
      <c r="AA27" s="130">
        <v>1</v>
      </c>
      <c r="AB27" s="130">
        <v>1</v>
      </c>
      <c r="AC27" s="130">
        <v>9</v>
      </c>
      <c r="AD27" s="130">
        <v>1</v>
      </c>
      <c r="AE27" s="130">
        <v>13</v>
      </c>
      <c r="AF27" s="130"/>
      <c r="AG27" s="130">
        <v>1</v>
      </c>
      <c r="AH27" s="185"/>
      <c r="AI27" s="185">
        <v>1</v>
      </c>
      <c r="AJ27" s="185"/>
      <c r="AK27" s="185">
        <v>4</v>
      </c>
      <c r="AL27" s="185"/>
      <c r="AM27" s="185">
        <v>6</v>
      </c>
      <c r="AN27" s="184">
        <v>1</v>
      </c>
      <c r="AO27" s="185">
        <v>2</v>
      </c>
      <c r="AP27" s="185">
        <v>1</v>
      </c>
      <c r="AQ27" s="185"/>
      <c r="AR27" s="184">
        <v>1</v>
      </c>
      <c r="AS27" s="184">
        <v>0</v>
      </c>
      <c r="AT27" s="185">
        <v>0</v>
      </c>
      <c r="AU27" s="185">
        <v>1</v>
      </c>
      <c r="AV27" s="184">
        <v>0</v>
      </c>
      <c r="AW27" s="185">
        <v>0</v>
      </c>
      <c r="AX27" s="184">
        <v>0</v>
      </c>
      <c r="AY27" s="154">
        <f t="shared" si="12"/>
        <v>53</v>
      </c>
      <c r="AZ27" s="185">
        <v>0</v>
      </c>
      <c r="BA27" s="131">
        <v>1</v>
      </c>
      <c r="BB27" s="131"/>
      <c r="BC27" s="130"/>
      <c r="BD27" s="130">
        <v>-1</v>
      </c>
      <c r="BE27" s="130"/>
      <c r="BF27" s="130"/>
      <c r="BG27" s="130"/>
      <c r="BH27" s="130">
        <v>1</v>
      </c>
      <c r="BI27" s="130"/>
      <c r="BJ27" s="130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4"/>
      <c r="BZ27" s="185"/>
      <c r="CA27" s="184">
        <v>0</v>
      </c>
      <c r="CB27" s="154">
        <f t="shared" si="13"/>
        <v>1</v>
      </c>
      <c r="CC27" s="185">
        <v>0</v>
      </c>
      <c r="CD27" s="130">
        <f t="shared" si="0"/>
        <v>54</v>
      </c>
      <c r="CE27" s="130">
        <f t="shared" si="1"/>
        <v>0</v>
      </c>
      <c r="CF27" s="133">
        <f t="shared" si="2"/>
        <v>53</v>
      </c>
      <c r="CG27" s="134">
        <f t="shared" si="3"/>
        <v>1</v>
      </c>
      <c r="CH27" s="14">
        <v>73</v>
      </c>
      <c r="CI27" s="2" t="s">
        <v>76</v>
      </c>
      <c r="CJ27" s="22"/>
      <c r="CK27" s="183">
        <v>-1</v>
      </c>
      <c r="CL27" s="16">
        <v>206</v>
      </c>
      <c r="CM27" s="16">
        <v>-2</v>
      </c>
      <c r="CN27" s="17"/>
      <c r="CO27" s="17">
        <v>-13</v>
      </c>
      <c r="CP27" s="17">
        <v>-7</v>
      </c>
      <c r="CQ27" s="17"/>
      <c r="CR27" s="136"/>
      <c r="CS27" s="136">
        <v>-2</v>
      </c>
      <c r="CT27" s="136"/>
      <c r="CU27" s="136"/>
      <c r="CV27" s="136">
        <v>-5</v>
      </c>
      <c r="CW27" s="136">
        <v>-3</v>
      </c>
      <c r="CX27" s="183">
        <v>-2</v>
      </c>
      <c r="CY27" s="183">
        <v>-1</v>
      </c>
      <c r="CZ27" s="183">
        <v>-3</v>
      </c>
      <c r="DA27" s="183">
        <v>-1</v>
      </c>
      <c r="DB27" s="183">
        <v>-17</v>
      </c>
      <c r="DC27" s="183">
        <v>-1</v>
      </c>
      <c r="DD27" s="183"/>
      <c r="DE27" s="18">
        <v>211</v>
      </c>
      <c r="DF27" s="18">
        <v>11</v>
      </c>
      <c r="DG27" s="19">
        <v>3</v>
      </c>
      <c r="DH27" s="19">
        <v>25</v>
      </c>
      <c r="DI27" s="19">
        <v>13</v>
      </c>
      <c r="DJ27" s="19">
        <f>2+1</f>
        <v>3</v>
      </c>
      <c r="DK27" s="130">
        <v>3</v>
      </c>
      <c r="DL27" s="130">
        <v>7</v>
      </c>
      <c r="DM27" s="130">
        <v>2</v>
      </c>
      <c r="DN27" s="130"/>
      <c r="DO27" s="185">
        <v>18</v>
      </c>
      <c r="DP27" s="185">
        <v>6</v>
      </c>
      <c r="DQ27" s="185">
        <v>6</v>
      </c>
      <c r="DR27" s="185">
        <v>6</v>
      </c>
      <c r="DS27" s="185">
        <v>7</v>
      </c>
      <c r="DT27" s="185">
        <v>6</v>
      </c>
      <c r="DU27" s="169">
        <f>4-1</f>
        <v>3</v>
      </c>
      <c r="DV27" s="185">
        <v>22</v>
      </c>
      <c r="DW27" s="185">
        <v>10</v>
      </c>
      <c r="DX27" s="185">
        <v>1</v>
      </c>
      <c r="DY27" s="185">
        <v>32</v>
      </c>
      <c r="DZ27" s="169">
        <f>8-4</f>
        <v>4</v>
      </c>
      <c r="EA27" s="185">
        <v>1</v>
      </c>
      <c r="EB27" s="169">
        <f>4-1</f>
        <v>3</v>
      </c>
      <c r="EC27" s="169">
        <v>4</v>
      </c>
      <c r="ED27" s="169">
        <f>12-11</f>
        <v>1</v>
      </c>
      <c r="EE27" s="169">
        <f>1-1</f>
        <v>0</v>
      </c>
      <c r="EF27" s="132">
        <f t="shared" si="19"/>
        <v>351</v>
      </c>
      <c r="EG27" s="185">
        <v>3</v>
      </c>
      <c r="EH27" s="131">
        <v>3</v>
      </c>
      <c r="EI27" s="131"/>
      <c r="EJ27" s="130">
        <v>1</v>
      </c>
      <c r="EK27" s="130">
        <v>-2</v>
      </c>
      <c r="EL27" s="130"/>
      <c r="EM27" s="130">
        <v>-1</v>
      </c>
      <c r="EN27" s="130"/>
      <c r="EO27" s="130"/>
      <c r="EP27" s="130"/>
      <c r="EQ27" s="130"/>
      <c r="ER27" s="185"/>
      <c r="ES27" s="185"/>
      <c r="ET27" s="185"/>
      <c r="EU27" s="185"/>
      <c r="EV27" s="185">
        <v>1</v>
      </c>
      <c r="EW27" s="185"/>
      <c r="EX27" s="185"/>
      <c r="EY27" s="185">
        <v>1</v>
      </c>
      <c r="EZ27" s="185"/>
      <c r="FA27" s="185"/>
      <c r="FB27" s="185"/>
      <c r="FC27" s="185"/>
      <c r="FD27" s="185"/>
      <c r="FE27" s="185"/>
      <c r="FF27" s="185"/>
      <c r="FG27" s="185"/>
      <c r="FH27" s="185"/>
      <c r="FI27" s="132">
        <f t="shared" si="14"/>
        <v>3</v>
      </c>
      <c r="FJ27" s="185">
        <v>0</v>
      </c>
      <c r="FK27" s="130">
        <f t="shared" si="15"/>
        <v>354</v>
      </c>
      <c r="FL27" s="130">
        <f t="shared" si="16"/>
        <v>3</v>
      </c>
      <c r="FM27" s="133">
        <f t="shared" si="17"/>
        <v>353</v>
      </c>
      <c r="FN27" s="134">
        <f t="shared" ref="FN27:FN54" si="20">+FI27+FJ27</f>
        <v>3</v>
      </c>
      <c r="FO27" s="67"/>
      <c r="FP27" s="67"/>
    </row>
    <row r="28" spans="1:172" x14ac:dyDescent="0.25">
      <c r="A28" s="14">
        <v>24</v>
      </c>
      <c r="B28" s="2" t="s">
        <v>27</v>
      </c>
      <c r="C28" s="15"/>
      <c r="D28" s="183"/>
      <c r="E28" s="150">
        <v>69</v>
      </c>
      <c r="F28" s="150">
        <v>-1</v>
      </c>
      <c r="G28" s="136"/>
      <c r="H28" s="136"/>
      <c r="I28" s="136">
        <v>-2</v>
      </c>
      <c r="J28" s="136"/>
      <c r="K28" s="136"/>
      <c r="L28" s="136"/>
      <c r="M28" s="136"/>
      <c r="N28" s="136"/>
      <c r="O28" s="136"/>
      <c r="P28" s="136"/>
      <c r="Q28" s="183"/>
      <c r="R28" s="183">
        <v>-1</v>
      </c>
      <c r="S28" s="183">
        <v>-5</v>
      </c>
      <c r="T28" s="183">
        <v>-4</v>
      </c>
      <c r="U28" s="183">
        <v>-4</v>
      </c>
      <c r="V28" s="183">
        <v>-2</v>
      </c>
      <c r="W28" s="183"/>
      <c r="X28" s="131">
        <v>63</v>
      </c>
      <c r="Y28" s="131">
        <v>20</v>
      </c>
      <c r="Z28" s="130">
        <v>6</v>
      </c>
      <c r="AA28" s="130">
        <v>9</v>
      </c>
      <c r="AB28" s="130">
        <v>16</v>
      </c>
      <c r="AC28" s="130">
        <v>1</v>
      </c>
      <c r="AD28" s="130">
        <v>13</v>
      </c>
      <c r="AE28" s="130">
        <v>17</v>
      </c>
      <c r="AF28" s="130">
        <v>16</v>
      </c>
      <c r="AG28" s="130">
        <v>13</v>
      </c>
      <c r="AH28" s="185">
        <v>16</v>
      </c>
      <c r="AI28" s="185">
        <v>20</v>
      </c>
      <c r="AJ28" s="185">
        <v>17</v>
      </c>
      <c r="AK28" s="185">
        <v>25</v>
      </c>
      <c r="AL28" s="169">
        <f>3-1</f>
        <v>2</v>
      </c>
      <c r="AM28" s="185">
        <v>10</v>
      </c>
      <c r="AN28" s="169">
        <f>14-2</f>
        <v>12</v>
      </c>
      <c r="AO28" s="185">
        <v>11</v>
      </c>
      <c r="AP28" s="185">
        <v>6</v>
      </c>
      <c r="AQ28" s="185">
        <v>1</v>
      </c>
      <c r="AR28" s="184">
        <v>2</v>
      </c>
      <c r="AS28" s="169">
        <f>4-1</f>
        <v>3</v>
      </c>
      <c r="AT28" s="169">
        <f>3-1</f>
        <v>2</v>
      </c>
      <c r="AU28" s="130">
        <v>1</v>
      </c>
      <c r="AV28" s="184">
        <v>2</v>
      </c>
      <c r="AW28" s="185">
        <v>1</v>
      </c>
      <c r="AX28" s="173">
        <f>3-1</f>
        <v>2</v>
      </c>
      <c r="AY28" s="154">
        <f t="shared" si="12"/>
        <v>288</v>
      </c>
      <c r="AZ28" s="185">
        <v>5</v>
      </c>
      <c r="BA28" s="131">
        <v>6</v>
      </c>
      <c r="BB28" s="131">
        <v>2</v>
      </c>
      <c r="BC28" s="130"/>
      <c r="BD28" s="130">
        <v>-8</v>
      </c>
      <c r="BE28" s="130"/>
      <c r="BF28" s="130"/>
      <c r="BG28" s="130"/>
      <c r="BH28" s="130"/>
      <c r="BI28" s="130"/>
      <c r="BJ28" s="130">
        <v>1</v>
      </c>
      <c r="BK28" s="185"/>
      <c r="BL28" s="185">
        <v>1</v>
      </c>
      <c r="BM28" s="185">
        <v>1</v>
      </c>
      <c r="BN28" s="185"/>
      <c r="BO28" s="169">
        <v>1</v>
      </c>
      <c r="BP28" s="185"/>
      <c r="BQ28" s="185">
        <v>2</v>
      </c>
      <c r="BR28" s="185"/>
      <c r="BS28" s="185"/>
      <c r="BT28" s="185"/>
      <c r="BU28" s="185"/>
      <c r="BV28" s="185"/>
      <c r="BW28" s="185">
        <v>1</v>
      </c>
      <c r="BX28" s="185"/>
      <c r="BY28" s="184"/>
      <c r="BZ28" s="185">
        <v>1</v>
      </c>
      <c r="CA28" s="184">
        <v>0</v>
      </c>
      <c r="CB28" s="154">
        <f t="shared" si="13"/>
        <v>8</v>
      </c>
      <c r="CC28" s="185">
        <v>0</v>
      </c>
      <c r="CD28" s="130">
        <f t="shared" si="0"/>
        <v>296</v>
      </c>
      <c r="CE28" s="130">
        <f t="shared" si="1"/>
        <v>5</v>
      </c>
      <c r="CF28" s="133">
        <f t="shared" si="2"/>
        <v>293</v>
      </c>
      <c r="CG28" s="134">
        <f t="shared" si="3"/>
        <v>8</v>
      </c>
      <c r="CH28" s="14">
        <v>74</v>
      </c>
      <c r="CI28" s="2" t="s">
        <v>77</v>
      </c>
      <c r="CJ28" s="22"/>
      <c r="CK28" s="183"/>
      <c r="CL28" s="16">
        <v>87</v>
      </c>
      <c r="CM28" s="16"/>
      <c r="CN28" s="17">
        <v>-1</v>
      </c>
      <c r="CO28" s="17">
        <v>-1</v>
      </c>
      <c r="CP28" s="17">
        <v>-4</v>
      </c>
      <c r="CQ28" s="17"/>
      <c r="CR28" s="136">
        <v>-2</v>
      </c>
      <c r="CS28" s="136">
        <v>-10</v>
      </c>
      <c r="CT28" s="136">
        <v>-1</v>
      </c>
      <c r="CU28" s="136"/>
      <c r="CV28" s="136">
        <v>-2</v>
      </c>
      <c r="CW28" s="136">
        <v>-1</v>
      </c>
      <c r="CX28" s="183"/>
      <c r="CY28" s="183">
        <v>-1</v>
      </c>
      <c r="CZ28" s="183">
        <v>-2</v>
      </c>
      <c r="DA28" s="183">
        <v>-1</v>
      </c>
      <c r="DB28" s="183">
        <v>-6</v>
      </c>
      <c r="DC28" s="183"/>
      <c r="DD28" s="183"/>
      <c r="DE28" s="18">
        <v>104</v>
      </c>
      <c r="DF28" s="18">
        <v>1</v>
      </c>
      <c r="DG28" s="19">
        <v>5</v>
      </c>
      <c r="DH28" s="19">
        <v>11</v>
      </c>
      <c r="DI28" s="19">
        <v>7</v>
      </c>
      <c r="DJ28" s="19">
        <v>2</v>
      </c>
      <c r="DK28" s="130">
        <v>25</v>
      </c>
      <c r="DL28" s="130">
        <v>23</v>
      </c>
      <c r="DM28" s="130">
        <v>6</v>
      </c>
      <c r="DN28" s="130">
        <v>2</v>
      </c>
      <c r="DO28" s="185">
        <v>15</v>
      </c>
      <c r="DP28" s="185">
        <v>14</v>
      </c>
      <c r="DQ28" s="185">
        <v>15</v>
      </c>
      <c r="DR28" s="185">
        <v>31</v>
      </c>
      <c r="DS28" s="185">
        <v>5</v>
      </c>
      <c r="DT28" s="185">
        <v>9</v>
      </c>
      <c r="DU28" s="185">
        <v>1</v>
      </c>
      <c r="DV28" s="185">
        <v>6</v>
      </c>
      <c r="DW28" s="185">
        <v>1</v>
      </c>
      <c r="DX28" s="185">
        <v>1</v>
      </c>
      <c r="DY28" s="185">
        <v>3</v>
      </c>
      <c r="DZ28" s="185">
        <v>1</v>
      </c>
      <c r="EA28" s="185"/>
      <c r="EB28" s="185">
        <v>1</v>
      </c>
      <c r="EC28" s="169">
        <v>5</v>
      </c>
      <c r="ED28" s="169">
        <f>7-3</f>
        <v>4</v>
      </c>
      <c r="EE28" s="169">
        <f>1-1</f>
        <v>0</v>
      </c>
      <c r="EF28" s="132">
        <f t="shared" si="19"/>
        <v>266</v>
      </c>
      <c r="EG28" s="185">
        <v>1</v>
      </c>
      <c r="EH28" s="131"/>
      <c r="EI28" s="131"/>
      <c r="EJ28" s="130"/>
      <c r="EK28" s="130"/>
      <c r="EL28" s="130"/>
      <c r="EM28" s="130">
        <v>1</v>
      </c>
      <c r="EN28" s="130"/>
      <c r="EO28" s="130">
        <v>1</v>
      </c>
      <c r="EP28" s="130">
        <v>1</v>
      </c>
      <c r="EQ28" s="130"/>
      <c r="ER28" s="185"/>
      <c r="ES28" s="185"/>
      <c r="ET28" s="185"/>
      <c r="EU28" s="185"/>
      <c r="EV28" s="185">
        <v>1</v>
      </c>
      <c r="EW28" s="185"/>
      <c r="EX28" s="185"/>
      <c r="EY28" s="185"/>
      <c r="EZ28" s="185"/>
      <c r="FA28" s="185"/>
      <c r="FB28" s="185"/>
      <c r="FC28" s="185"/>
      <c r="FD28" s="185"/>
      <c r="FE28" s="185">
        <v>1</v>
      </c>
      <c r="FF28" s="185"/>
      <c r="FG28" s="185"/>
      <c r="FH28" s="185"/>
      <c r="FI28" s="132">
        <f t="shared" si="14"/>
        <v>5</v>
      </c>
      <c r="FJ28" s="185">
        <v>0</v>
      </c>
      <c r="FK28" s="130">
        <f t="shared" si="15"/>
        <v>271</v>
      </c>
      <c r="FL28" s="130">
        <f t="shared" si="16"/>
        <v>1</v>
      </c>
      <c r="FM28" s="133">
        <f t="shared" si="17"/>
        <v>267</v>
      </c>
      <c r="FN28" s="134">
        <f t="shared" si="20"/>
        <v>5</v>
      </c>
      <c r="FO28" s="67"/>
      <c r="FP28" s="67"/>
    </row>
    <row r="29" spans="1:172" x14ac:dyDescent="0.25">
      <c r="A29" s="14">
        <v>25</v>
      </c>
      <c r="B29" s="2" t="s">
        <v>28</v>
      </c>
      <c r="C29" s="15"/>
      <c r="D29" s="183"/>
      <c r="E29" s="150">
        <v>100</v>
      </c>
      <c r="F29" s="150"/>
      <c r="G29" s="136"/>
      <c r="H29" s="136">
        <v>-1</v>
      </c>
      <c r="I29" s="136">
        <v>-1</v>
      </c>
      <c r="J29" s="136">
        <v>-3</v>
      </c>
      <c r="K29" s="136">
        <v>-1</v>
      </c>
      <c r="L29" s="136"/>
      <c r="M29" s="136">
        <v>-2</v>
      </c>
      <c r="N29" s="136"/>
      <c r="O29" s="136"/>
      <c r="P29" s="136"/>
      <c r="Q29" s="183">
        <v>-2</v>
      </c>
      <c r="R29" s="183">
        <v>-1</v>
      </c>
      <c r="S29" s="183"/>
      <c r="T29" s="183">
        <v>-3</v>
      </c>
      <c r="U29" s="183"/>
      <c r="V29" s="183"/>
      <c r="W29" s="183">
        <v>-1</v>
      </c>
      <c r="X29" s="131">
        <v>89</v>
      </c>
      <c r="Y29" s="131"/>
      <c r="Z29" s="130"/>
      <c r="AA29" s="130">
        <v>5</v>
      </c>
      <c r="AB29" s="130">
        <v>11</v>
      </c>
      <c r="AC29" s="130">
        <v>5</v>
      </c>
      <c r="AD29" s="130">
        <v>20</v>
      </c>
      <c r="AE29" s="130">
        <v>8</v>
      </c>
      <c r="AF29" s="130">
        <v>7</v>
      </c>
      <c r="AG29" s="130">
        <v>3</v>
      </c>
      <c r="AH29" s="185"/>
      <c r="AI29" s="185">
        <v>9</v>
      </c>
      <c r="AJ29" s="185">
        <v>6</v>
      </c>
      <c r="AK29" s="185">
        <v>3</v>
      </c>
      <c r="AL29" s="185">
        <v>1</v>
      </c>
      <c r="AM29" s="185">
        <v>6</v>
      </c>
      <c r="AN29" s="184">
        <v>1</v>
      </c>
      <c r="AO29" s="185">
        <v>2</v>
      </c>
      <c r="AP29" s="185">
        <v>1</v>
      </c>
      <c r="AQ29" s="185"/>
      <c r="AR29" s="184">
        <v>1</v>
      </c>
      <c r="AS29" s="169">
        <f>8-1</f>
        <v>7</v>
      </c>
      <c r="AT29" s="185">
        <v>1</v>
      </c>
      <c r="AU29" s="169">
        <f>1-1</f>
        <v>0</v>
      </c>
      <c r="AV29" s="184">
        <v>1</v>
      </c>
      <c r="AW29" s="185">
        <v>1</v>
      </c>
      <c r="AX29" s="184">
        <v>1</v>
      </c>
      <c r="AY29" s="154">
        <f t="shared" si="12"/>
        <v>174</v>
      </c>
      <c r="AZ29" s="185">
        <v>0</v>
      </c>
      <c r="BA29" s="131">
        <v>11</v>
      </c>
      <c r="BB29" s="131"/>
      <c r="BC29" s="130"/>
      <c r="BD29" s="130">
        <v>-4</v>
      </c>
      <c r="BE29" s="130"/>
      <c r="BF29" s="130"/>
      <c r="BG29" s="130"/>
      <c r="BH29" s="130"/>
      <c r="BI29" s="130"/>
      <c r="BJ29" s="130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4"/>
      <c r="BZ29" s="185"/>
      <c r="CA29" s="184">
        <v>0</v>
      </c>
      <c r="CB29" s="154">
        <f t="shared" si="13"/>
        <v>7</v>
      </c>
      <c r="CC29" s="185">
        <v>0</v>
      </c>
      <c r="CD29" s="130">
        <f t="shared" si="0"/>
        <v>181</v>
      </c>
      <c r="CE29" s="130">
        <f t="shared" si="1"/>
        <v>0</v>
      </c>
      <c r="CF29" s="133">
        <f t="shared" si="2"/>
        <v>174</v>
      </c>
      <c r="CG29" s="134">
        <f t="shared" si="3"/>
        <v>7</v>
      </c>
      <c r="CH29" s="14">
        <v>75</v>
      </c>
      <c r="CI29" s="2" t="s">
        <v>78</v>
      </c>
      <c r="CJ29" s="22"/>
      <c r="CK29" s="183">
        <v>-6</v>
      </c>
      <c r="CL29" s="16">
        <v>112</v>
      </c>
      <c r="CM29" s="16"/>
      <c r="CN29" s="17"/>
      <c r="CO29" s="17">
        <v>-2</v>
      </c>
      <c r="CP29" s="17"/>
      <c r="CQ29" s="17"/>
      <c r="CR29" s="136">
        <v>-1</v>
      </c>
      <c r="CS29" s="136"/>
      <c r="CT29" s="136">
        <v>-1</v>
      </c>
      <c r="CU29" s="136">
        <v>-3</v>
      </c>
      <c r="CV29" s="136">
        <v>-1</v>
      </c>
      <c r="CW29" s="136">
        <v>-6</v>
      </c>
      <c r="CX29" s="183"/>
      <c r="CY29" s="183"/>
      <c r="CZ29" s="183">
        <v>-1</v>
      </c>
      <c r="DA29" s="183"/>
      <c r="DB29" s="183"/>
      <c r="DC29" s="183">
        <v>-2</v>
      </c>
      <c r="DD29" s="183"/>
      <c r="DE29" s="18">
        <v>111</v>
      </c>
      <c r="DF29" s="18">
        <v>6</v>
      </c>
      <c r="DG29" s="19"/>
      <c r="DH29" s="19">
        <v>60</v>
      </c>
      <c r="DI29" s="19">
        <v>8</v>
      </c>
      <c r="DJ29" s="19">
        <v>11</v>
      </c>
      <c r="DK29" s="130">
        <v>6</v>
      </c>
      <c r="DL29" s="130">
        <v>6</v>
      </c>
      <c r="DM29" s="130">
        <v>9</v>
      </c>
      <c r="DN29" s="130">
        <v>5</v>
      </c>
      <c r="DO29" s="185">
        <v>5</v>
      </c>
      <c r="DP29" s="185">
        <v>15</v>
      </c>
      <c r="DQ29" s="185">
        <v>1</v>
      </c>
      <c r="DR29" s="185">
        <v>4</v>
      </c>
      <c r="DS29" s="185">
        <v>2</v>
      </c>
      <c r="DT29" s="185">
        <v>1</v>
      </c>
      <c r="DU29" s="169">
        <f>2-1</f>
        <v>1</v>
      </c>
      <c r="DV29" s="185"/>
      <c r="DW29" s="185">
        <v>19</v>
      </c>
      <c r="DX29" s="185">
        <v>2</v>
      </c>
      <c r="DY29" s="169">
        <f>5-1</f>
        <v>4</v>
      </c>
      <c r="DZ29" s="185">
        <v>3</v>
      </c>
      <c r="EA29" s="169">
        <f>8-7</f>
        <v>1</v>
      </c>
      <c r="EB29" s="169">
        <f>11-8</f>
        <v>3</v>
      </c>
      <c r="EC29" s="185"/>
      <c r="ED29" s="169">
        <f>9-4</f>
        <v>5</v>
      </c>
      <c r="EE29" s="169">
        <f>1-1</f>
        <v>0</v>
      </c>
      <c r="EF29" s="132">
        <f t="shared" si="19"/>
        <v>271</v>
      </c>
      <c r="EG29" s="185">
        <v>8</v>
      </c>
      <c r="EH29" s="131">
        <v>6</v>
      </c>
      <c r="EI29" s="131">
        <v>1</v>
      </c>
      <c r="EJ29" s="130"/>
      <c r="EK29" s="130">
        <v>-7</v>
      </c>
      <c r="EL29" s="130">
        <v>1</v>
      </c>
      <c r="EM29" s="130">
        <v>1</v>
      </c>
      <c r="EN29" s="130">
        <v>1</v>
      </c>
      <c r="EO29" s="130"/>
      <c r="EP29" s="130">
        <v>1</v>
      </c>
      <c r="EQ29" s="130">
        <v>1</v>
      </c>
      <c r="ER29" s="185">
        <v>2</v>
      </c>
      <c r="ES29" s="185"/>
      <c r="ET29" s="185">
        <v>1</v>
      </c>
      <c r="EU29" s="185"/>
      <c r="EV29" s="185"/>
      <c r="EW29" s="185"/>
      <c r="EX29" s="185"/>
      <c r="EY29" s="185"/>
      <c r="EZ29" s="185"/>
      <c r="FA29" s="185"/>
      <c r="FB29" s="185"/>
      <c r="FC29" s="185"/>
      <c r="FD29" s="185"/>
      <c r="FE29" s="185"/>
      <c r="FF29" s="185"/>
      <c r="FG29" s="185"/>
      <c r="FH29" s="185"/>
      <c r="FI29" s="132">
        <f t="shared" si="14"/>
        <v>8</v>
      </c>
      <c r="FJ29" s="185">
        <v>0</v>
      </c>
      <c r="FK29" s="130">
        <f t="shared" si="15"/>
        <v>279</v>
      </c>
      <c r="FL29" s="130">
        <f t="shared" si="16"/>
        <v>8</v>
      </c>
      <c r="FM29" s="133">
        <f t="shared" si="17"/>
        <v>273</v>
      </c>
      <c r="FN29" s="134">
        <f t="shared" si="20"/>
        <v>8</v>
      </c>
      <c r="FO29" s="67"/>
      <c r="FP29" s="67"/>
    </row>
    <row r="30" spans="1:172" x14ac:dyDescent="0.25">
      <c r="A30" s="14">
        <v>26</v>
      </c>
      <c r="B30" s="2" t="s">
        <v>29</v>
      </c>
      <c r="C30" s="15"/>
      <c r="D30" s="183">
        <v>-2</v>
      </c>
      <c r="E30" s="150">
        <v>117</v>
      </c>
      <c r="F30" s="150"/>
      <c r="G30" s="136">
        <v>-1</v>
      </c>
      <c r="H30" s="136"/>
      <c r="I30" s="136"/>
      <c r="J30" s="136"/>
      <c r="K30" s="136">
        <v>-2</v>
      </c>
      <c r="L30" s="136"/>
      <c r="M30" s="136">
        <v>-1</v>
      </c>
      <c r="N30" s="136">
        <v>-2</v>
      </c>
      <c r="O30" s="136"/>
      <c r="P30" s="136"/>
      <c r="Q30" s="183"/>
      <c r="R30" s="183"/>
      <c r="S30" s="183">
        <v>-5</v>
      </c>
      <c r="T30" s="183">
        <v>-1</v>
      </c>
      <c r="U30" s="183"/>
      <c r="V30" s="183">
        <v>-1</v>
      </c>
      <c r="W30" s="183"/>
      <c r="X30" s="131">
        <v>135</v>
      </c>
      <c r="Y30" s="131">
        <v>21</v>
      </c>
      <c r="Z30" s="130">
        <v>4</v>
      </c>
      <c r="AA30" s="130">
        <v>3</v>
      </c>
      <c r="AB30" s="130">
        <v>15</v>
      </c>
      <c r="AC30" s="130">
        <v>39</v>
      </c>
      <c r="AD30" s="130">
        <v>35</v>
      </c>
      <c r="AE30" s="130">
        <v>22</v>
      </c>
      <c r="AF30" s="130">
        <v>4</v>
      </c>
      <c r="AG30" s="130">
        <v>8</v>
      </c>
      <c r="AH30" s="185">
        <v>3</v>
      </c>
      <c r="AI30" s="185">
        <v>4</v>
      </c>
      <c r="AJ30" s="185">
        <v>4</v>
      </c>
      <c r="AK30" s="185">
        <v>16</v>
      </c>
      <c r="AL30" s="185">
        <v>36</v>
      </c>
      <c r="AM30" s="185">
        <v>12</v>
      </c>
      <c r="AN30" s="184">
        <v>19</v>
      </c>
      <c r="AO30" s="185">
        <v>3</v>
      </c>
      <c r="AP30" s="185">
        <v>11</v>
      </c>
      <c r="AQ30" s="185">
        <v>5</v>
      </c>
      <c r="AR30" s="184">
        <v>14</v>
      </c>
      <c r="AS30" s="169">
        <f>6-3</f>
        <v>3</v>
      </c>
      <c r="AT30" s="169">
        <f>1-1</f>
        <v>0</v>
      </c>
      <c r="AU30" s="130">
        <v>19</v>
      </c>
      <c r="AV30" s="184">
        <v>2</v>
      </c>
      <c r="AW30" s="185">
        <v>2</v>
      </c>
      <c r="AX30" s="173">
        <f>2-1</f>
        <v>1</v>
      </c>
      <c r="AY30" s="154">
        <f t="shared" si="12"/>
        <v>427</v>
      </c>
      <c r="AZ30" s="185">
        <v>10</v>
      </c>
      <c r="BA30" s="131">
        <v>3</v>
      </c>
      <c r="BB30" s="131">
        <v>2</v>
      </c>
      <c r="BC30" s="130"/>
      <c r="BD30" s="130">
        <v>-1</v>
      </c>
      <c r="BE30" s="130"/>
      <c r="BF30" s="130"/>
      <c r="BG30" s="130">
        <v>1</v>
      </c>
      <c r="BH30" s="130"/>
      <c r="BI30" s="130">
        <v>1</v>
      </c>
      <c r="BJ30" s="130"/>
      <c r="BK30" s="185"/>
      <c r="BL30" s="185"/>
      <c r="BM30" s="185"/>
      <c r="BN30" s="185"/>
      <c r="BO30" s="185">
        <v>2</v>
      </c>
      <c r="BP30" s="185">
        <v>1</v>
      </c>
      <c r="BQ30" s="185"/>
      <c r="BR30" s="185"/>
      <c r="BS30" s="185"/>
      <c r="BT30" s="185"/>
      <c r="BU30" s="185"/>
      <c r="BV30" s="185"/>
      <c r="BW30" s="185"/>
      <c r="BX30" s="185"/>
      <c r="BY30" s="184"/>
      <c r="BZ30" s="185"/>
      <c r="CA30" s="184">
        <v>0</v>
      </c>
      <c r="CB30" s="154">
        <f t="shared" si="13"/>
        <v>9</v>
      </c>
      <c r="CC30" s="185">
        <v>0</v>
      </c>
      <c r="CD30" s="130">
        <f t="shared" si="0"/>
        <v>436</v>
      </c>
      <c r="CE30" s="130">
        <f t="shared" si="1"/>
        <v>10</v>
      </c>
      <c r="CF30" s="133">
        <f t="shared" si="2"/>
        <v>435</v>
      </c>
      <c r="CG30" s="134">
        <f t="shared" si="3"/>
        <v>9</v>
      </c>
      <c r="CH30" s="14">
        <v>76</v>
      </c>
      <c r="CI30" s="2" t="s">
        <v>79</v>
      </c>
      <c r="CJ30" s="22"/>
      <c r="CK30" s="183"/>
      <c r="CL30" s="16">
        <v>72</v>
      </c>
      <c r="CM30" s="16"/>
      <c r="CN30" s="17"/>
      <c r="CO30" s="17"/>
      <c r="CP30" s="17"/>
      <c r="CQ30" s="17"/>
      <c r="CR30" s="136"/>
      <c r="CS30" s="136"/>
      <c r="CT30" s="136"/>
      <c r="CU30" s="136">
        <v>-2</v>
      </c>
      <c r="CV30" s="136">
        <v>-2</v>
      </c>
      <c r="CW30" s="136"/>
      <c r="CX30" s="183"/>
      <c r="CY30" s="183"/>
      <c r="CZ30" s="183"/>
      <c r="DA30" s="183">
        <v>-2</v>
      </c>
      <c r="DB30" s="183"/>
      <c r="DC30" s="183"/>
      <c r="DD30" s="183"/>
      <c r="DE30" s="18">
        <v>73</v>
      </c>
      <c r="DF30" s="18">
        <v>2</v>
      </c>
      <c r="DG30" s="19">
        <v>2</v>
      </c>
      <c r="DH30" s="19">
        <v>1</v>
      </c>
      <c r="DI30" s="19">
        <v>3</v>
      </c>
      <c r="DJ30" s="19">
        <v>1</v>
      </c>
      <c r="DK30" s="130">
        <v>6</v>
      </c>
      <c r="DL30" s="130">
        <v>5</v>
      </c>
      <c r="DM30" s="130">
        <v>9</v>
      </c>
      <c r="DN30" s="130">
        <v>5</v>
      </c>
      <c r="DO30" s="185">
        <v>9</v>
      </c>
      <c r="DP30" s="185">
        <v>3</v>
      </c>
      <c r="DQ30" s="185">
        <v>7</v>
      </c>
      <c r="DR30" s="185">
        <v>3</v>
      </c>
      <c r="DS30" s="169">
        <f>2-1</f>
        <v>1</v>
      </c>
      <c r="DT30" s="185">
        <v>28</v>
      </c>
      <c r="DU30" s="185">
        <v>6</v>
      </c>
      <c r="DV30" s="185"/>
      <c r="DW30" s="185">
        <v>2</v>
      </c>
      <c r="DX30" s="185">
        <v>5</v>
      </c>
      <c r="DY30" s="185">
        <v>1</v>
      </c>
      <c r="DZ30" s="185">
        <v>1</v>
      </c>
      <c r="EA30" s="185">
        <v>1</v>
      </c>
      <c r="EB30" s="185">
        <v>8</v>
      </c>
      <c r="EC30" s="185">
        <v>2</v>
      </c>
      <c r="ED30" s="185">
        <v>26</v>
      </c>
      <c r="EE30" s="185">
        <v>1</v>
      </c>
      <c r="EF30" s="132">
        <f t="shared" si="19"/>
        <v>205</v>
      </c>
      <c r="EG30" s="185">
        <v>1</v>
      </c>
      <c r="EH30" s="131"/>
      <c r="EI30" s="131"/>
      <c r="EJ30" s="130">
        <v>2</v>
      </c>
      <c r="EK30" s="130"/>
      <c r="EL30" s="130"/>
      <c r="EM30" s="130">
        <v>1</v>
      </c>
      <c r="EN30" s="130"/>
      <c r="EO30" s="130"/>
      <c r="EP30" s="130"/>
      <c r="EQ30" s="130"/>
      <c r="ER30" s="185">
        <v>3</v>
      </c>
      <c r="ES30" s="185">
        <v>2</v>
      </c>
      <c r="ET30" s="185"/>
      <c r="EU30" s="185">
        <v>1</v>
      </c>
      <c r="EV30" s="169">
        <v>1</v>
      </c>
      <c r="EW30" s="185">
        <v>2</v>
      </c>
      <c r="EX30" s="185"/>
      <c r="EY30" s="185"/>
      <c r="EZ30" s="185"/>
      <c r="FA30" s="185"/>
      <c r="FB30" s="185"/>
      <c r="FC30" s="185"/>
      <c r="FD30" s="185"/>
      <c r="FE30" s="185"/>
      <c r="FF30" s="185"/>
      <c r="FG30" s="185">
        <v>1</v>
      </c>
      <c r="FH30" s="185"/>
      <c r="FI30" s="132">
        <f t="shared" si="14"/>
        <v>13</v>
      </c>
      <c r="FJ30" s="185">
        <v>1</v>
      </c>
      <c r="FK30" s="130">
        <f t="shared" si="15"/>
        <v>218</v>
      </c>
      <c r="FL30" s="130">
        <f t="shared" si="16"/>
        <v>2</v>
      </c>
      <c r="FM30" s="133">
        <f t="shared" si="17"/>
        <v>206</v>
      </c>
      <c r="FN30" s="134">
        <f t="shared" si="20"/>
        <v>14</v>
      </c>
      <c r="FO30" s="67"/>
      <c r="FP30" s="67"/>
    </row>
    <row r="31" spans="1:172" x14ac:dyDescent="0.25">
      <c r="A31" s="14">
        <v>27</v>
      </c>
      <c r="B31" s="2" t="s">
        <v>30</v>
      </c>
      <c r="C31" s="15"/>
      <c r="D31" s="183"/>
      <c r="E31" s="150">
        <v>274</v>
      </c>
      <c r="F31" s="150"/>
      <c r="G31" s="136"/>
      <c r="H31" s="136"/>
      <c r="I31" s="136">
        <v>-1</v>
      </c>
      <c r="J31" s="136">
        <v>-2</v>
      </c>
      <c r="K31" s="136">
        <v>-1</v>
      </c>
      <c r="L31" s="136"/>
      <c r="M31" s="136">
        <v>-2</v>
      </c>
      <c r="N31" s="136"/>
      <c r="O31" s="136"/>
      <c r="P31" s="136"/>
      <c r="Q31" s="183"/>
      <c r="R31" s="183"/>
      <c r="S31" s="183">
        <v>-1</v>
      </c>
      <c r="T31" s="183">
        <v>-2</v>
      </c>
      <c r="U31" s="183">
        <v>-1</v>
      </c>
      <c r="V31" s="183"/>
      <c r="W31" s="183"/>
      <c r="X31" s="131">
        <v>338</v>
      </c>
      <c r="Y31" s="131">
        <v>21</v>
      </c>
      <c r="Z31" s="130">
        <v>9</v>
      </c>
      <c r="AA31" s="130">
        <v>5</v>
      </c>
      <c r="AB31" s="130">
        <v>24</v>
      </c>
      <c r="AC31" s="130">
        <v>25</v>
      </c>
      <c r="AD31" s="130">
        <v>15</v>
      </c>
      <c r="AE31" s="130">
        <v>13</v>
      </c>
      <c r="AF31" s="130">
        <v>9</v>
      </c>
      <c r="AG31" s="130">
        <v>8</v>
      </c>
      <c r="AH31" s="185">
        <v>2</v>
      </c>
      <c r="AI31" s="185">
        <v>12</v>
      </c>
      <c r="AJ31" s="185">
        <v>8</v>
      </c>
      <c r="AK31" s="185">
        <v>3</v>
      </c>
      <c r="AL31" s="185">
        <v>7</v>
      </c>
      <c r="AM31" s="185">
        <v>21</v>
      </c>
      <c r="AN31" s="169">
        <f>12-1</f>
        <v>11</v>
      </c>
      <c r="AO31" s="185">
        <v>5</v>
      </c>
      <c r="AP31" s="185">
        <v>3</v>
      </c>
      <c r="AQ31" s="185">
        <v>3</v>
      </c>
      <c r="AR31" s="184">
        <v>2</v>
      </c>
      <c r="AS31" s="169">
        <f>10-2</f>
        <v>8</v>
      </c>
      <c r="AT31" s="185">
        <v>6</v>
      </c>
      <c r="AU31" s="169">
        <f>6-1</f>
        <v>5</v>
      </c>
      <c r="AV31" s="184">
        <v>1</v>
      </c>
      <c r="AW31" s="173">
        <f>6-4</f>
        <v>2</v>
      </c>
      <c r="AX31" s="141">
        <v>10</v>
      </c>
      <c r="AY31" s="154">
        <f t="shared" si="12"/>
        <v>566</v>
      </c>
      <c r="AZ31" s="185">
        <v>0</v>
      </c>
      <c r="BA31" s="131">
        <v>9</v>
      </c>
      <c r="BB31" s="131">
        <v>2</v>
      </c>
      <c r="BC31" s="130"/>
      <c r="BD31" s="130">
        <v>-2</v>
      </c>
      <c r="BE31" s="130"/>
      <c r="BF31" s="130"/>
      <c r="BG31" s="130"/>
      <c r="BH31" s="130">
        <v>4</v>
      </c>
      <c r="BI31" s="130"/>
      <c r="BJ31" s="130">
        <v>2</v>
      </c>
      <c r="BK31" s="185">
        <v>3</v>
      </c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4"/>
      <c r="BZ31" s="185">
        <v>2</v>
      </c>
      <c r="CA31" s="184">
        <v>0</v>
      </c>
      <c r="CB31" s="154">
        <f t="shared" si="13"/>
        <v>20</v>
      </c>
      <c r="CC31" s="185">
        <v>2</v>
      </c>
      <c r="CD31" s="130">
        <f t="shared" si="0"/>
        <v>586</v>
      </c>
      <c r="CE31" s="130">
        <f t="shared" si="1"/>
        <v>2</v>
      </c>
      <c r="CF31" s="133">
        <f t="shared" si="2"/>
        <v>566</v>
      </c>
      <c r="CG31" s="134">
        <f t="shared" si="3"/>
        <v>22</v>
      </c>
      <c r="CH31" s="14">
        <v>77</v>
      </c>
      <c r="CI31" s="2" t="s">
        <v>80</v>
      </c>
      <c r="CJ31" s="22"/>
      <c r="CK31" s="183"/>
      <c r="CL31" s="16">
        <v>73</v>
      </c>
      <c r="CM31" s="16">
        <v>-4</v>
      </c>
      <c r="CN31" s="17"/>
      <c r="CO31" s="17"/>
      <c r="CP31" s="17">
        <v>-3</v>
      </c>
      <c r="CQ31" s="17"/>
      <c r="CR31" s="136"/>
      <c r="CS31" s="136"/>
      <c r="CT31" s="136"/>
      <c r="CU31" s="136">
        <v>-1</v>
      </c>
      <c r="CV31" s="136"/>
      <c r="CW31" s="136">
        <v>-4</v>
      </c>
      <c r="CX31" s="183"/>
      <c r="CY31" s="183">
        <v>-1</v>
      </c>
      <c r="CZ31" s="183"/>
      <c r="DA31" s="183"/>
      <c r="DB31" s="183"/>
      <c r="DC31" s="183"/>
      <c r="DD31" s="183"/>
      <c r="DE31" s="18">
        <v>73</v>
      </c>
      <c r="DF31" s="18">
        <v>2</v>
      </c>
      <c r="DG31" s="19">
        <v>5</v>
      </c>
      <c r="DH31" s="19">
        <v>13</v>
      </c>
      <c r="DI31" s="19">
        <v>12</v>
      </c>
      <c r="DJ31" s="19">
        <v>24</v>
      </c>
      <c r="DK31" s="130">
        <v>122</v>
      </c>
      <c r="DL31" s="130">
        <v>33</v>
      </c>
      <c r="DM31" s="130">
        <v>111</v>
      </c>
      <c r="DN31" s="130">
        <v>34</v>
      </c>
      <c r="DO31" s="185">
        <v>15</v>
      </c>
      <c r="DP31" s="185">
        <v>20</v>
      </c>
      <c r="DQ31" s="185">
        <v>7</v>
      </c>
      <c r="DR31" s="185">
        <v>1</v>
      </c>
      <c r="DS31" s="185">
        <v>6</v>
      </c>
      <c r="DT31" s="185">
        <v>7</v>
      </c>
      <c r="DU31" s="185">
        <v>4</v>
      </c>
      <c r="DV31" s="185">
        <v>5</v>
      </c>
      <c r="DW31" s="185">
        <v>1</v>
      </c>
      <c r="DX31" s="185">
        <v>1</v>
      </c>
      <c r="DY31" s="169">
        <f>9-2</f>
        <v>7</v>
      </c>
      <c r="DZ31" s="185">
        <v>9</v>
      </c>
      <c r="EA31" s="169">
        <f>35-2</f>
        <v>33</v>
      </c>
      <c r="EB31" s="185">
        <v>1</v>
      </c>
      <c r="EC31" s="185">
        <v>3</v>
      </c>
      <c r="ED31" s="185">
        <v>4</v>
      </c>
      <c r="EE31" s="185">
        <v>1</v>
      </c>
      <c r="EF31" s="132">
        <f t="shared" si="19"/>
        <v>541</v>
      </c>
      <c r="EG31" s="185">
        <v>1</v>
      </c>
      <c r="EH31" s="131">
        <v>4</v>
      </c>
      <c r="EI31" s="131"/>
      <c r="EJ31" s="130">
        <v>-1</v>
      </c>
      <c r="EK31" s="130">
        <v>-1</v>
      </c>
      <c r="EL31" s="130"/>
      <c r="EM31" s="130"/>
      <c r="EN31" s="130"/>
      <c r="EO31" s="130"/>
      <c r="EP31" s="130"/>
      <c r="EQ31" s="130"/>
      <c r="ER31" s="185"/>
      <c r="ES31" s="185">
        <v>3</v>
      </c>
      <c r="ET31" s="185">
        <v>2</v>
      </c>
      <c r="EU31" s="185">
        <v>1</v>
      </c>
      <c r="EV31" s="185">
        <v>1</v>
      </c>
      <c r="EW31" s="185">
        <v>1</v>
      </c>
      <c r="EX31" s="185"/>
      <c r="EY31" s="185">
        <v>1</v>
      </c>
      <c r="EZ31" s="185"/>
      <c r="FA31" s="185"/>
      <c r="FB31" s="185"/>
      <c r="FC31" s="185"/>
      <c r="FD31" s="185"/>
      <c r="FE31" s="185"/>
      <c r="FF31" s="185"/>
      <c r="FG31" s="185"/>
      <c r="FH31" s="185"/>
      <c r="FI31" s="132">
        <f t="shared" si="14"/>
        <v>11</v>
      </c>
      <c r="FJ31" s="185">
        <v>0</v>
      </c>
      <c r="FK31" s="130">
        <f t="shared" si="15"/>
        <v>552</v>
      </c>
      <c r="FL31" s="130">
        <f t="shared" si="16"/>
        <v>1</v>
      </c>
      <c r="FM31" s="133">
        <f t="shared" si="17"/>
        <v>542</v>
      </c>
      <c r="FN31" s="134">
        <f t="shared" si="20"/>
        <v>11</v>
      </c>
      <c r="FO31" s="67"/>
      <c r="FP31" s="67"/>
    </row>
    <row r="32" spans="1:172" x14ac:dyDescent="0.25">
      <c r="A32" s="14">
        <v>28</v>
      </c>
      <c r="B32" s="2" t="s">
        <v>31</v>
      </c>
      <c r="C32" s="15"/>
      <c r="D32" s="183">
        <v>-1</v>
      </c>
      <c r="E32" s="150">
        <v>128</v>
      </c>
      <c r="F32" s="150"/>
      <c r="G32" s="136"/>
      <c r="H32" s="136">
        <v>-1</v>
      </c>
      <c r="I32" s="136"/>
      <c r="J32" s="136">
        <v>-1</v>
      </c>
      <c r="K32" s="136">
        <v>-2</v>
      </c>
      <c r="L32" s="136">
        <v>-3</v>
      </c>
      <c r="M32" s="136">
        <v>-3</v>
      </c>
      <c r="N32" s="136">
        <v>-2</v>
      </c>
      <c r="O32" s="136">
        <v>-1</v>
      </c>
      <c r="P32" s="136"/>
      <c r="Q32" s="183"/>
      <c r="R32" s="183">
        <v>-2</v>
      </c>
      <c r="S32" s="183">
        <v>-2</v>
      </c>
      <c r="T32" s="183">
        <v>-2</v>
      </c>
      <c r="U32" s="183">
        <v>-1</v>
      </c>
      <c r="V32" s="183"/>
      <c r="W32" s="183">
        <v>-1</v>
      </c>
      <c r="X32" s="131">
        <v>117</v>
      </c>
      <c r="Y32" s="131">
        <v>5</v>
      </c>
      <c r="Z32" s="130">
        <v>8</v>
      </c>
      <c r="AA32" s="130">
        <v>13</v>
      </c>
      <c r="AB32" s="130">
        <v>13</v>
      </c>
      <c r="AC32" s="130">
        <f>12-1</f>
        <v>11</v>
      </c>
      <c r="AD32" s="130">
        <v>8</v>
      </c>
      <c r="AE32" s="130">
        <v>24</v>
      </c>
      <c r="AF32" s="130">
        <v>16</v>
      </c>
      <c r="AG32" s="130">
        <v>9</v>
      </c>
      <c r="AH32" s="185">
        <v>10</v>
      </c>
      <c r="AI32" s="185">
        <v>18</v>
      </c>
      <c r="AJ32" s="185">
        <v>2</v>
      </c>
      <c r="AK32" s="185">
        <v>2</v>
      </c>
      <c r="AL32" s="185">
        <v>3</v>
      </c>
      <c r="AM32" s="185">
        <v>4</v>
      </c>
      <c r="AN32" s="184">
        <v>1</v>
      </c>
      <c r="AO32" s="185">
        <v>2</v>
      </c>
      <c r="AP32" s="185">
        <v>1</v>
      </c>
      <c r="AQ32" s="185">
        <v>1</v>
      </c>
      <c r="AR32" s="169">
        <f>2-1</f>
        <v>1</v>
      </c>
      <c r="AS32" s="169">
        <f>3-1</f>
        <v>2</v>
      </c>
      <c r="AT32" s="185">
        <v>1</v>
      </c>
      <c r="AU32" s="185">
        <v>6</v>
      </c>
      <c r="AV32" s="184">
        <v>3</v>
      </c>
      <c r="AW32" s="228">
        <f>1-1</f>
        <v>0</v>
      </c>
      <c r="AX32" s="141">
        <v>1</v>
      </c>
      <c r="AY32" s="154">
        <f t="shared" si="12"/>
        <v>261</v>
      </c>
      <c r="AZ32" s="185">
        <v>1</v>
      </c>
      <c r="BA32" s="131">
        <v>14</v>
      </c>
      <c r="BB32" s="131"/>
      <c r="BC32" s="130"/>
      <c r="BD32" s="130">
        <v>-1</v>
      </c>
      <c r="BE32" s="130"/>
      <c r="BF32" s="130">
        <v>1</v>
      </c>
      <c r="BG32" s="130">
        <v>1</v>
      </c>
      <c r="BH32" s="130">
        <v>2</v>
      </c>
      <c r="BI32" s="130"/>
      <c r="BJ32" s="130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4"/>
      <c r="BZ32" s="229">
        <v>1</v>
      </c>
      <c r="CA32" s="184">
        <v>0</v>
      </c>
      <c r="CB32" s="154">
        <f t="shared" si="13"/>
        <v>18</v>
      </c>
      <c r="CC32" s="185">
        <v>0</v>
      </c>
      <c r="CD32" s="130">
        <f t="shared" si="0"/>
        <v>279</v>
      </c>
      <c r="CE32" s="130">
        <f t="shared" si="1"/>
        <v>1</v>
      </c>
      <c r="CF32" s="133">
        <f t="shared" si="2"/>
        <v>261</v>
      </c>
      <c r="CG32" s="134">
        <f t="shared" si="3"/>
        <v>18</v>
      </c>
      <c r="CH32" s="14">
        <v>78</v>
      </c>
      <c r="CI32" s="2" t="s">
        <v>81</v>
      </c>
      <c r="CJ32" s="22"/>
      <c r="CK32" s="183"/>
      <c r="CL32" s="16">
        <v>119</v>
      </c>
      <c r="CM32" s="16"/>
      <c r="CN32" s="17">
        <v>-1</v>
      </c>
      <c r="CO32" s="17">
        <v>-1</v>
      </c>
      <c r="CP32" s="17">
        <v>-1</v>
      </c>
      <c r="CQ32" s="17">
        <v>-2</v>
      </c>
      <c r="CR32" s="136">
        <v>-1</v>
      </c>
      <c r="CS32" s="136">
        <v>-1</v>
      </c>
      <c r="CT32" s="136">
        <v>-3</v>
      </c>
      <c r="CU32" s="136"/>
      <c r="CV32" s="136"/>
      <c r="CW32" s="136">
        <v>-1</v>
      </c>
      <c r="CX32" s="183">
        <v>-1</v>
      </c>
      <c r="CY32" s="183">
        <v>-1</v>
      </c>
      <c r="CZ32" s="183">
        <v>-2</v>
      </c>
      <c r="DA32" s="183"/>
      <c r="DB32" s="183"/>
      <c r="DC32" s="183">
        <v>-1</v>
      </c>
      <c r="DD32" s="183"/>
      <c r="DE32" s="18">
        <v>122</v>
      </c>
      <c r="DF32" s="18">
        <v>7</v>
      </c>
      <c r="DG32" s="19">
        <v>9</v>
      </c>
      <c r="DH32" s="19">
        <v>19</v>
      </c>
      <c r="DI32" s="19">
        <v>21</v>
      </c>
      <c r="DJ32" s="19">
        <v>40</v>
      </c>
      <c r="DK32" s="130">
        <v>24</v>
      </c>
      <c r="DL32" s="130">
        <v>28</v>
      </c>
      <c r="DM32" s="130">
        <v>36</v>
      </c>
      <c r="DN32" s="130">
        <v>11</v>
      </c>
      <c r="DO32" s="185">
        <v>12</v>
      </c>
      <c r="DP32" s="185">
        <v>31</v>
      </c>
      <c r="DQ32" s="185">
        <v>16</v>
      </c>
      <c r="DR32" s="185">
        <v>15</v>
      </c>
      <c r="DS32" s="185">
        <v>15</v>
      </c>
      <c r="DT32" s="185">
        <v>6</v>
      </c>
      <c r="DU32" s="185">
        <v>1</v>
      </c>
      <c r="DV32" s="185">
        <v>10</v>
      </c>
      <c r="DW32" s="185">
        <v>1</v>
      </c>
      <c r="DX32" s="185">
        <v>2</v>
      </c>
      <c r="DY32" s="169">
        <f>2-1</f>
        <v>1</v>
      </c>
      <c r="DZ32" s="185">
        <v>4</v>
      </c>
      <c r="EA32" s="169">
        <f>4-3</f>
        <v>1</v>
      </c>
      <c r="EB32" s="169">
        <f>12-5</f>
        <v>7</v>
      </c>
      <c r="EC32" s="169">
        <v>10</v>
      </c>
      <c r="ED32" s="169">
        <f>8-3</f>
        <v>5</v>
      </c>
      <c r="EE32" s="169">
        <f>2-1</f>
        <v>1</v>
      </c>
      <c r="EF32" s="132">
        <f t="shared" si="19"/>
        <v>439</v>
      </c>
      <c r="EG32" s="185">
        <v>2</v>
      </c>
      <c r="EH32" s="131">
        <v>7</v>
      </c>
      <c r="EI32" s="131"/>
      <c r="EJ32" s="130">
        <v>1</v>
      </c>
      <c r="EK32" s="130">
        <v>3</v>
      </c>
      <c r="EL32" s="130">
        <v>1</v>
      </c>
      <c r="EM32" s="130"/>
      <c r="EN32" s="130">
        <v>1</v>
      </c>
      <c r="EO32" s="130"/>
      <c r="EP32" s="130"/>
      <c r="EQ32" s="130">
        <v>1</v>
      </c>
      <c r="ER32" s="185">
        <v>2</v>
      </c>
      <c r="ES32" s="185">
        <v>3</v>
      </c>
      <c r="ET32" s="185">
        <v>3</v>
      </c>
      <c r="EU32" s="185">
        <v>1</v>
      </c>
      <c r="EV32" s="185"/>
      <c r="EW32" s="185"/>
      <c r="EX32" s="185"/>
      <c r="EY32" s="185"/>
      <c r="EZ32" s="185"/>
      <c r="FA32" s="185"/>
      <c r="FB32" s="185"/>
      <c r="FC32" s="185">
        <v>1</v>
      </c>
      <c r="FD32" s="185">
        <v>1</v>
      </c>
      <c r="FE32" s="185"/>
      <c r="FF32" s="185"/>
      <c r="FG32" s="185">
        <v>22</v>
      </c>
      <c r="FH32" s="185"/>
      <c r="FI32" s="132">
        <f t="shared" si="14"/>
        <v>47</v>
      </c>
      <c r="FJ32" s="185">
        <v>0</v>
      </c>
      <c r="FK32" s="130">
        <f t="shared" si="15"/>
        <v>486</v>
      </c>
      <c r="FL32" s="130">
        <f t="shared" si="16"/>
        <v>2</v>
      </c>
      <c r="FM32" s="133">
        <f t="shared" si="17"/>
        <v>441</v>
      </c>
      <c r="FN32" s="134">
        <f t="shared" si="20"/>
        <v>47</v>
      </c>
      <c r="FO32" s="67"/>
      <c r="FP32" s="67"/>
    </row>
    <row r="33" spans="1:172" x14ac:dyDescent="0.25">
      <c r="A33" s="14">
        <v>29</v>
      </c>
      <c r="B33" s="2" t="s">
        <v>32</v>
      </c>
      <c r="C33" s="15"/>
      <c r="D33" s="183"/>
      <c r="E33" s="150">
        <v>166</v>
      </c>
      <c r="F33" s="150"/>
      <c r="G33" s="136">
        <v>-1</v>
      </c>
      <c r="H33" s="136">
        <v>-3</v>
      </c>
      <c r="I33" s="136">
        <v>-4</v>
      </c>
      <c r="J33" s="136">
        <v>-15</v>
      </c>
      <c r="K33" s="136">
        <v>-2</v>
      </c>
      <c r="L33" s="136"/>
      <c r="M33" s="136"/>
      <c r="N33" s="136">
        <v>-1</v>
      </c>
      <c r="O33" s="136">
        <v>-3</v>
      </c>
      <c r="P33" s="136">
        <v>-3</v>
      </c>
      <c r="Q33" s="183"/>
      <c r="R33" s="183"/>
      <c r="S33" s="183"/>
      <c r="T33" s="183"/>
      <c r="U33" s="183">
        <v>-1</v>
      </c>
      <c r="V33" s="183"/>
      <c r="W33" s="183"/>
      <c r="X33" s="131">
        <v>159</v>
      </c>
      <c r="Y33" s="131">
        <v>8</v>
      </c>
      <c r="Z33" s="130">
        <v>12</v>
      </c>
      <c r="AA33" s="130">
        <v>13</v>
      </c>
      <c r="AB33" s="130">
        <v>41</v>
      </c>
      <c r="AC33" s="130">
        <f>125-6</f>
        <v>119</v>
      </c>
      <c r="AD33" s="130">
        <v>59</v>
      </c>
      <c r="AE33" s="130">
        <v>7</v>
      </c>
      <c r="AF33" s="130">
        <v>15</v>
      </c>
      <c r="AG33" s="130">
        <v>8</v>
      </c>
      <c r="AH33" s="185">
        <v>9</v>
      </c>
      <c r="AI33" s="185">
        <v>11</v>
      </c>
      <c r="AJ33" s="185">
        <v>6</v>
      </c>
      <c r="AK33" s="185">
        <v>14</v>
      </c>
      <c r="AL33" s="169">
        <v>-6</v>
      </c>
      <c r="AM33" s="185">
        <v>10</v>
      </c>
      <c r="AN33" s="184">
        <v>3</v>
      </c>
      <c r="AO33" s="169">
        <f>4-5</f>
        <v>-1</v>
      </c>
      <c r="AP33" s="185">
        <v>6</v>
      </c>
      <c r="AQ33" s="185">
        <v>7</v>
      </c>
      <c r="AR33" s="228">
        <f>15-1-4</f>
        <v>10</v>
      </c>
      <c r="AS33" s="184">
        <v>2</v>
      </c>
      <c r="AT33" s="169">
        <f>1-6</f>
        <v>-5</v>
      </c>
      <c r="AU33" s="228">
        <f>9-1-7</f>
        <v>1</v>
      </c>
      <c r="AV33" s="184">
        <v>0</v>
      </c>
      <c r="AW33" s="185">
        <v>4</v>
      </c>
      <c r="AX33" s="184">
        <v>6</v>
      </c>
      <c r="AY33" s="224">
        <v>487</v>
      </c>
      <c r="AZ33" s="185">
        <v>8</v>
      </c>
      <c r="BA33" s="131">
        <v>7</v>
      </c>
      <c r="BB33" s="131">
        <v>3</v>
      </c>
      <c r="BC33" s="130">
        <v>1</v>
      </c>
      <c r="BD33" s="130">
        <v>-3</v>
      </c>
      <c r="BE33" s="130">
        <v>9</v>
      </c>
      <c r="BF33" s="130">
        <f>33+6</f>
        <v>39</v>
      </c>
      <c r="BG33" s="130">
        <v>23</v>
      </c>
      <c r="BH33" s="130">
        <v>12</v>
      </c>
      <c r="BI33" s="130">
        <v>10</v>
      </c>
      <c r="BJ33" s="130"/>
      <c r="BK33" s="185">
        <v>6</v>
      </c>
      <c r="BL33" s="185">
        <v>11</v>
      </c>
      <c r="BM33" s="185">
        <v>10</v>
      </c>
      <c r="BN33" s="185">
        <v>13</v>
      </c>
      <c r="BO33" s="169">
        <v>6</v>
      </c>
      <c r="BP33" s="185">
        <v>24</v>
      </c>
      <c r="BQ33" s="185"/>
      <c r="BR33" s="169">
        <f>7+5</f>
        <v>12</v>
      </c>
      <c r="BS33" s="185">
        <v>9</v>
      </c>
      <c r="BT33" s="185">
        <v>7</v>
      </c>
      <c r="BU33" s="227">
        <f>11+4</f>
        <v>15</v>
      </c>
      <c r="BV33" s="185">
        <v>15</v>
      </c>
      <c r="BW33" s="185">
        <v>2</v>
      </c>
      <c r="BX33" s="229">
        <f>31+7</f>
        <v>38</v>
      </c>
      <c r="BY33" s="184">
        <v>5</v>
      </c>
      <c r="BZ33" s="185">
        <v>1</v>
      </c>
      <c r="CA33" s="184">
        <v>6</v>
      </c>
      <c r="CB33" s="224">
        <v>279</v>
      </c>
      <c r="CC33" s="185">
        <v>6</v>
      </c>
      <c r="CD33" s="130">
        <f t="shared" si="0"/>
        <v>766</v>
      </c>
      <c r="CE33" s="130">
        <f t="shared" si="1"/>
        <v>14</v>
      </c>
      <c r="CF33" s="133">
        <f t="shared" si="2"/>
        <v>495</v>
      </c>
      <c r="CG33" s="134">
        <f t="shared" si="3"/>
        <v>285</v>
      </c>
      <c r="CH33" s="14">
        <v>79</v>
      </c>
      <c r="CI33" s="2" t="s">
        <v>82</v>
      </c>
      <c r="CJ33" s="22"/>
      <c r="CK33" s="183">
        <v>-2</v>
      </c>
      <c r="CL33" s="16">
        <v>15</v>
      </c>
      <c r="CM33" s="16"/>
      <c r="CN33" s="17">
        <v>-1</v>
      </c>
      <c r="CO33" s="17"/>
      <c r="CP33" s="17"/>
      <c r="CQ33" s="17"/>
      <c r="CR33" s="136">
        <v>-1</v>
      </c>
      <c r="CS33" s="136"/>
      <c r="CT33" s="136"/>
      <c r="CU33" s="136"/>
      <c r="CV33" s="136"/>
      <c r="CW33" s="136">
        <v>-1</v>
      </c>
      <c r="CX33" s="183">
        <v>-2</v>
      </c>
      <c r="CY33" s="183">
        <v>-6</v>
      </c>
      <c r="CZ33" s="183">
        <v>-2</v>
      </c>
      <c r="DA33" s="183">
        <v>-1</v>
      </c>
      <c r="DB33" s="183"/>
      <c r="DC33" s="183"/>
      <c r="DD33" s="183"/>
      <c r="DE33" s="18">
        <v>16</v>
      </c>
      <c r="DF33" s="18">
        <v>2</v>
      </c>
      <c r="DG33" s="19">
        <v>101</v>
      </c>
      <c r="DH33" s="19">
        <v>49</v>
      </c>
      <c r="DI33" s="19">
        <v>30</v>
      </c>
      <c r="DJ33" s="19">
        <v>8</v>
      </c>
      <c r="DK33" s="130">
        <v>10</v>
      </c>
      <c r="DL33" s="130">
        <v>8</v>
      </c>
      <c r="DM33" s="130">
        <v>6</v>
      </c>
      <c r="DN33" s="130">
        <v>2</v>
      </c>
      <c r="DO33" s="185">
        <v>25</v>
      </c>
      <c r="DP33" s="185">
        <v>10</v>
      </c>
      <c r="DQ33" s="185">
        <v>16</v>
      </c>
      <c r="DR33" s="185">
        <v>110</v>
      </c>
      <c r="DS33" s="185">
        <v>5</v>
      </c>
      <c r="DT33" s="185">
        <v>19</v>
      </c>
      <c r="DU33" s="185">
        <v>9</v>
      </c>
      <c r="DV33" s="185">
        <v>2</v>
      </c>
      <c r="DW33" s="185">
        <v>3</v>
      </c>
      <c r="DX33" s="185">
        <v>25</v>
      </c>
      <c r="DY33" s="185">
        <v>10</v>
      </c>
      <c r="DZ33" s="185"/>
      <c r="EA33" s="169">
        <f>1-1</f>
        <v>0</v>
      </c>
      <c r="EB33" s="225">
        <f>1+1</f>
        <v>2</v>
      </c>
      <c r="EC33" s="185">
        <v>1</v>
      </c>
      <c r="ED33" s="185"/>
      <c r="EE33" s="185">
        <v>1</v>
      </c>
      <c r="EF33" s="132">
        <f t="shared" si="19"/>
        <v>456</v>
      </c>
      <c r="EG33" s="185">
        <v>1</v>
      </c>
      <c r="EH33" s="131"/>
      <c r="EI33" s="131"/>
      <c r="EJ33" s="130">
        <v>53</v>
      </c>
      <c r="EK33" s="130">
        <v>1</v>
      </c>
      <c r="EL33" s="130">
        <v>2</v>
      </c>
      <c r="EM33" s="130"/>
      <c r="EN33" s="130"/>
      <c r="EO33" s="130">
        <v>3</v>
      </c>
      <c r="EP33" s="130">
        <v>1</v>
      </c>
      <c r="EQ33" s="130"/>
      <c r="ER33" s="185">
        <v>15</v>
      </c>
      <c r="ES33" s="185">
        <v>5</v>
      </c>
      <c r="ET33" s="185">
        <v>6</v>
      </c>
      <c r="EU33" s="185">
        <v>17</v>
      </c>
      <c r="EV33" s="185"/>
      <c r="EW33" s="185">
        <v>5</v>
      </c>
      <c r="EX33" s="185"/>
      <c r="EY33" s="185"/>
      <c r="EZ33" s="185"/>
      <c r="FA33" s="185"/>
      <c r="FB33" s="185">
        <v>12</v>
      </c>
      <c r="FC33" s="185"/>
      <c r="FD33" s="185"/>
      <c r="FE33" s="225">
        <v>-1</v>
      </c>
      <c r="FF33" s="185"/>
      <c r="FG33" s="185"/>
      <c r="FH33" s="185"/>
      <c r="FI33" s="132">
        <f t="shared" si="14"/>
        <v>119</v>
      </c>
      <c r="FJ33" s="185">
        <v>4</v>
      </c>
      <c r="FK33" s="130">
        <f t="shared" si="15"/>
        <v>575</v>
      </c>
      <c r="FL33" s="130">
        <f t="shared" si="16"/>
        <v>5</v>
      </c>
      <c r="FM33" s="133">
        <f t="shared" si="17"/>
        <v>455</v>
      </c>
      <c r="FN33" s="134">
        <f t="shared" si="20"/>
        <v>123</v>
      </c>
      <c r="FO33" s="67"/>
      <c r="FP33" s="67"/>
    </row>
    <row r="34" spans="1:172" x14ac:dyDescent="0.25">
      <c r="A34" s="14">
        <v>30</v>
      </c>
      <c r="B34" s="2" t="s">
        <v>33</v>
      </c>
      <c r="C34" s="15"/>
      <c r="D34" s="183">
        <v>-1</v>
      </c>
      <c r="E34" s="150">
        <v>191</v>
      </c>
      <c r="F34" s="150">
        <v>-9</v>
      </c>
      <c r="G34" s="136">
        <v>-5</v>
      </c>
      <c r="H34" s="136"/>
      <c r="I34" s="136">
        <v>-1</v>
      </c>
      <c r="J34" s="136">
        <v>-2</v>
      </c>
      <c r="K34" s="136"/>
      <c r="L34" s="136"/>
      <c r="M34" s="136"/>
      <c r="N34" s="136"/>
      <c r="O34" s="136">
        <v>-5</v>
      </c>
      <c r="P34" s="136"/>
      <c r="Q34" s="183">
        <v>-2</v>
      </c>
      <c r="R34" s="183">
        <v>-2</v>
      </c>
      <c r="S34" s="183">
        <v>-2</v>
      </c>
      <c r="T34" s="183">
        <v>-4</v>
      </c>
      <c r="U34" s="183">
        <v>-2</v>
      </c>
      <c r="V34" s="183"/>
      <c r="W34" s="183">
        <v>-1</v>
      </c>
      <c r="X34" s="131">
        <v>191</v>
      </c>
      <c r="Y34" s="131">
        <v>129</v>
      </c>
      <c r="Z34" s="130">
        <v>75</v>
      </c>
      <c r="AA34" s="130">
        <v>12</v>
      </c>
      <c r="AB34" s="130">
        <v>22</v>
      </c>
      <c r="AC34" s="130">
        <v>60</v>
      </c>
      <c r="AD34" s="130">
        <v>14</v>
      </c>
      <c r="AE34" s="130">
        <f>6-1</f>
        <v>5</v>
      </c>
      <c r="AF34" s="130">
        <v>26</v>
      </c>
      <c r="AG34" s="130">
        <v>1</v>
      </c>
      <c r="AH34" s="185">
        <v>31</v>
      </c>
      <c r="AI34" s="169">
        <v>5</v>
      </c>
      <c r="AJ34" s="185">
        <v>31</v>
      </c>
      <c r="AK34" s="185">
        <v>54</v>
      </c>
      <c r="AL34" s="185">
        <v>43</v>
      </c>
      <c r="AM34" s="185">
        <v>32</v>
      </c>
      <c r="AN34" s="184">
        <f>9-1</f>
        <v>8</v>
      </c>
      <c r="AO34" s="185">
        <v>12</v>
      </c>
      <c r="AP34" s="185">
        <v>13</v>
      </c>
      <c r="AQ34" s="185">
        <v>28</v>
      </c>
      <c r="AR34" s="184">
        <v>20</v>
      </c>
      <c r="AS34" s="169">
        <f>23-7</f>
        <v>16</v>
      </c>
      <c r="AT34" s="185">
        <v>0</v>
      </c>
      <c r="AU34" s="185">
        <v>3</v>
      </c>
      <c r="AV34" s="184">
        <v>1</v>
      </c>
      <c r="AW34" s="185">
        <v>5</v>
      </c>
      <c r="AX34" s="173">
        <f>8-5</f>
        <v>3</v>
      </c>
      <c r="AY34" s="154">
        <f t="shared" si="12"/>
        <v>805</v>
      </c>
      <c r="AZ34" s="185">
        <v>3</v>
      </c>
      <c r="BA34" s="131">
        <v>4</v>
      </c>
      <c r="BB34" s="131"/>
      <c r="BC34" s="130">
        <v>4</v>
      </c>
      <c r="BD34" s="130">
        <v>-4</v>
      </c>
      <c r="BE34" s="130"/>
      <c r="BF34" s="130"/>
      <c r="BG34" s="130"/>
      <c r="BH34" s="130">
        <v>1</v>
      </c>
      <c r="BI34" s="130"/>
      <c r="BJ34" s="130"/>
      <c r="BK34" s="185">
        <v>1</v>
      </c>
      <c r="BL34" s="169">
        <f>0+1</f>
        <v>1</v>
      </c>
      <c r="BM34" s="185">
        <v>2</v>
      </c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4"/>
      <c r="BZ34" s="185"/>
      <c r="CA34" s="184">
        <v>0</v>
      </c>
      <c r="CB34" s="154">
        <f t="shared" si="13"/>
        <v>9</v>
      </c>
      <c r="CC34" s="185">
        <v>0</v>
      </c>
      <c r="CD34" s="130">
        <f t="shared" si="0"/>
        <v>814</v>
      </c>
      <c r="CE34" s="130">
        <f t="shared" si="1"/>
        <v>3</v>
      </c>
      <c r="CF34" s="133">
        <f t="shared" si="2"/>
        <v>807</v>
      </c>
      <c r="CG34" s="134">
        <f t="shared" ref="CG34:CG54" si="21">+CB34+CC34</f>
        <v>9</v>
      </c>
      <c r="CH34" s="14">
        <v>80</v>
      </c>
      <c r="CI34" s="2" t="s">
        <v>83</v>
      </c>
      <c r="CJ34" s="22"/>
      <c r="CK34" s="183"/>
      <c r="CL34" s="16">
        <v>164</v>
      </c>
      <c r="CM34" s="16"/>
      <c r="CN34" s="17"/>
      <c r="CO34" s="17"/>
      <c r="CP34" s="17">
        <v>-2</v>
      </c>
      <c r="CQ34" s="17"/>
      <c r="CR34" s="136">
        <v>-1</v>
      </c>
      <c r="CS34" s="136"/>
      <c r="CT34" s="136">
        <v>-1</v>
      </c>
      <c r="CU34" s="136"/>
      <c r="CV34" s="136"/>
      <c r="CW34" s="136"/>
      <c r="CX34" s="183"/>
      <c r="CY34" s="183">
        <v>-1</v>
      </c>
      <c r="CZ34" s="183">
        <v>-2</v>
      </c>
      <c r="DA34" s="183"/>
      <c r="DB34" s="183">
        <v>-1</v>
      </c>
      <c r="DC34" s="183"/>
      <c r="DD34" s="183"/>
      <c r="DE34" s="18">
        <v>164</v>
      </c>
      <c r="DF34" s="18"/>
      <c r="DG34" s="19">
        <v>1</v>
      </c>
      <c r="DH34" s="19">
        <v>9</v>
      </c>
      <c r="DI34" s="19">
        <v>5</v>
      </c>
      <c r="DJ34" s="19">
        <v>1</v>
      </c>
      <c r="DK34" s="130">
        <v>3</v>
      </c>
      <c r="DL34" s="130"/>
      <c r="DM34" s="130">
        <v>5</v>
      </c>
      <c r="DN34" s="130">
        <v>1</v>
      </c>
      <c r="DO34" s="185"/>
      <c r="DP34" s="185">
        <v>2</v>
      </c>
      <c r="DQ34" s="185">
        <v>2</v>
      </c>
      <c r="DR34" s="185">
        <v>1</v>
      </c>
      <c r="DS34" s="185">
        <v>7</v>
      </c>
      <c r="DT34" s="185">
        <v>5</v>
      </c>
      <c r="DU34" s="185">
        <v>2</v>
      </c>
      <c r="DV34" s="185">
        <v>2</v>
      </c>
      <c r="DW34" s="185">
        <v>1</v>
      </c>
      <c r="DX34" s="185"/>
      <c r="DY34" s="185">
        <v>11</v>
      </c>
      <c r="DZ34" s="169">
        <f>11-2</f>
        <v>9</v>
      </c>
      <c r="EA34" s="185"/>
      <c r="EB34" s="185">
        <v>4</v>
      </c>
      <c r="EC34" s="185">
        <v>9</v>
      </c>
      <c r="ED34" s="169">
        <f>12-2</f>
        <v>10</v>
      </c>
      <c r="EE34" s="130">
        <v>4</v>
      </c>
      <c r="EF34" s="132">
        <f t="shared" si="19"/>
        <v>250</v>
      </c>
      <c r="EG34" s="185">
        <v>3</v>
      </c>
      <c r="EH34" s="131">
        <v>1</v>
      </c>
      <c r="EI34" s="131"/>
      <c r="EJ34" s="130"/>
      <c r="EK34" s="130"/>
      <c r="EL34" s="130"/>
      <c r="EM34" s="130"/>
      <c r="EN34" s="130"/>
      <c r="EO34" s="130"/>
      <c r="EP34" s="130"/>
      <c r="EQ34" s="130"/>
      <c r="ER34" s="185"/>
      <c r="ES34" s="185"/>
      <c r="ET34" s="185"/>
      <c r="EU34" s="185"/>
      <c r="EV34" s="185"/>
      <c r="EW34" s="185"/>
      <c r="EX34" s="185"/>
      <c r="EY34" s="185"/>
      <c r="EZ34" s="185"/>
      <c r="FA34" s="185"/>
      <c r="FB34" s="185"/>
      <c r="FC34" s="185"/>
      <c r="FD34" s="185"/>
      <c r="FE34" s="185"/>
      <c r="FF34" s="185"/>
      <c r="FG34" s="185"/>
      <c r="FH34" s="185"/>
      <c r="FI34" s="132">
        <f t="shared" si="14"/>
        <v>1</v>
      </c>
      <c r="FJ34" s="185">
        <v>0</v>
      </c>
      <c r="FK34" s="130">
        <f t="shared" si="15"/>
        <v>251</v>
      </c>
      <c r="FL34" s="130">
        <f t="shared" si="16"/>
        <v>3</v>
      </c>
      <c r="FM34" s="133">
        <f t="shared" si="17"/>
        <v>253</v>
      </c>
      <c r="FN34" s="134">
        <f t="shared" si="20"/>
        <v>1</v>
      </c>
      <c r="FO34" s="67"/>
      <c r="FP34" s="67"/>
    </row>
    <row r="35" spans="1:172" x14ac:dyDescent="0.25">
      <c r="A35" s="14">
        <v>31</v>
      </c>
      <c r="B35" s="2" t="s">
        <v>34</v>
      </c>
      <c r="C35" s="15"/>
      <c r="D35" s="183">
        <v>-1</v>
      </c>
      <c r="E35" s="150">
        <v>55</v>
      </c>
      <c r="F35" s="150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83"/>
      <c r="R35" s="183">
        <v>-1</v>
      </c>
      <c r="S35" s="183"/>
      <c r="T35" s="183"/>
      <c r="U35" s="183"/>
      <c r="V35" s="183"/>
      <c r="W35" s="183"/>
      <c r="X35" s="131">
        <v>55</v>
      </c>
      <c r="Y35" s="131">
        <v>8</v>
      </c>
      <c r="Z35" s="130">
        <v>3</v>
      </c>
      <c r="AA35" s="130">
        <v>6</v>
      </c>
      <c r="AB35" s="130">
        <v>11</v>
      </c>
      <c r="AC35" s="130">
        <v>14</v>
      </c>
      <c r="AD35" s="130">
        <v>27</v>
      </c>
      <c r="AE35" s="130">
        <v>28</v>
      </c>
      <c r="AF35" s="130">
        <v>4</v>
      </c>
      <c r="AG35" s="130">
        <v>2</v>
      </c>
      <c r="AH35" s="185">
        <v>1</v>
      </c>
      <c r="AI35" s="185">
        <v>1</v>
      </c>
      <c r="AJ35" s="185"/>
      <c r="AK35" s="185">
        <v>1</v>
      </c>
      <c r="AL35" s="185"/>
      <c r="AM35" s="185"/>
      <c r="AN35" s="184">
        <v>2</v>
      </c>
      <c r="AO35" s="185">
        <v>1</v>
      </c>
      <c r="AP35" s="185">
        <v>1</v>
      </c>
      <c r="AQ35" s="185">
        <v>6</v>
      </c>
      <c r="AR35" s="184">
        <v>1</v>
      </c>
      <c r="AS35" s="184">
        <v>3</v>
      </c>
      <c r="AT35" s="185">
        <v>0</v>
      </c>
      <c r="AU35" s="185">
        <v>2</v>
      </c>
      <c r="AV35" s="184">
        <v>3</v>
      </c>
      <c r="AW35" s="173">
        <f>1-1</f>
        <v>0</v>
      </c>
      <c r="AX35" s="141">
        <v>1</v>
      </c>
      <c r="AY35" s="154">
        <f t="shared" si="12"/>
        <v>180</v>
      </c>
      <c r="AZ35" s="185">
        <v>6</v>
      </c>
      <c r="BA35" s="131">
        <v>3</v>
      </c>
      <c r="BB35" s="131"/>
      <c r="BC35" s="130"/>
      <c r="BD35" s="130">
        <v>-2</v>
      </c>
      <c r="BE35" s="130"/>
      <c r="BF35" s="130"/>
      <c r="BG35" s="130"/>
      <c r="BH35" s="130"/>
      <c r="BI35" s="130"/>
      <c r="BJ35" s="130"/>
      <c r="BK35" s="185">
        <v>1</v>
      </c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  <c r="BV35" s="185"/>
      <c r="BW35" s="185"/>
      <c r="BX35" s="185">
        <v>1</v>
      </c>
      <c r="BY35" s="184"/>
      <c r="BZ35" s="185"/>
      <c r="CA35" s="184">
        <v>0</v>
      </c>
      <c r="CB35" s="154">
        <f t="shared" si="13"/>
        <v>3</v>
      </c>
      <c r="CC35" s="185">
        <v>0</v>
      </c>
      <c r="CD35" s="130">
        <f t="shared" si="0"/>
        <v>183</v>
      </c>
      <c r="CE35" s="130">
        <f t="shared" si="1"/>
        <v>6</v>
      </c>
      <c r="CF35" s="133">
        <f t="shared" si="2"/>
        <v>185</v>
      </c>
      <c r="CG35" s="134">
        <f t="shared" si="21"/>
        <v>3</v>
      </c>
      <c r="CH35" s="14">
        <v>81</v>
      </c>
      <c r="CI35" s="2" t="s">
        <v>84</v>
      </c>
      <c r="CJ35" s="22"/>
      <c r="CK35" s="183">
        <v>-1</v>
      </c>
      <c r="CL35" s="16">
        <v>170</v>
      </c>
      <c r="CM35" s="16">
        <v>-1</v>
      </c>
      <c r="CN35" s="17"/>
      <c r="CO35" s="17"/>
      <c r="CP35" s="17"/>
      <c r="CQ35" s="17"/>
      <c r="CR35" s="136"/>
      <c r="CS35" s="136"/>
      <c r="CT35" s="136"/>
      <c r="CU35" s="136">
        <v>-12</v>
      </c>
      <c r="CV35" s="136">
        <v>-3</v>
      </c>
      <c r="CW35" s="136"/>
      <c r="CX35" s="183"/>
      <c r="CY35" s="183"/>
      <c r="CZ35" s="183"/>
      <c r="DA35" s="183">
        <v>-1</v>
      </c>
      <c r="DB35" s="183">
        <v>-1</v>
      </c>
      <c r="DC35" s="183">
        <v>-7</v>
      </c>
      <c r="DD35" s="183"/>
      <c r="DE35" s="18">
        <v>167</v>
      </c>
      <c r="DF35" s="18">
        <v>2</v>
      </c>
      <c r="DG35" s="19"/>
      <c r="DH35" s="19">
        <v>3</v>
      </c>
      <c r="DI35" s="19">
        <v>4</v>
      </c>
      <c r="DJ35" s="169">
        <f>1-1</f>
        <v>0</v>
      </c>
      <c r="DK35" s="169"/>
      <c r="DL35" s="169"/>
      <c r="DM35" s="169">
        <f>1-1</f>
        <v>0</v>
      </c>
      <c r="DN35" s="130">
        <v>76</v>
      </c>
      <c r="DO35" s="185">
        <v>40</v>
      </c>
      <c r="DP35" s="185">
        <v>9</v>
      </c>
      <c r="DQ35" s="185">
        <v>36</v>
      </c>
      <c r="DR35" s="185">
        <v>11</v>
      </c>
      <c r="DS35" s="185">
        <v>2</v>
      </c>
      <c r="DT35" s="185">
        <v>14</v>
      </c>
      <c r="DU35" s="185">
        <v>2</v>
      </c>
      <c r="DV35" s="185">
        <v>10</v>
      </c>
      <c r="DW35" s="185">
        <v>9</v>
      </c>
      <c r="DX35" s="185">
        <v>12</v>
      </c>
      <c r="DY35" s="185">
        <v>10</v>
      </c>
      <c r="DZ35" s="185">
        <v>2</v>
      </c>
      <c r="EA35" s="185"/>
      <c r="EB35" s="169">
        <f>1-2</f>
        <v>-1</v>
      </c>
      <c r="EC35" s="169">
        <v>11</v>
      </c>
      <c r="ED35" s="169">
        <f>5-2</f>
        <v>3</v>
      </c>
      <c r="EE35" s="130">
        <v>1</v>
      </c>
      <c r="EF35" s="132">
        <f t="shared" si="19"/>
        <v>398</v>
      </c>
      <c r="EG35" s="185">
        <v>4</v>
      </c>
      <c r="EH35" s="131">
        <v>4</v>
      </c>
      <c r="EI35" s="131"/>
      <c r="EJ35" s="130"/>
      <c r="EK35" s="130">
        <v>-3</v>
      </c>
      <c r="EL35" s="130"/>
      <c r="EM35" s="169">
        <v>1</v>
      </c>
      <c r="EN35" s="169"/>
      <c r="EO35" s="169"/>
      <c r="EP35" s="169">
        <v>1</v>
      </c>
      <c r="EQ35" s="130">
        <v>14</v>
      </c>
      <c r="ER35" s="185"/>
      <c r="ES35" s="185">
        <v>20</v>
      </c>
      <c r="ET35" s="185">
        <v>1</v>
      </c>
      <c r="EU35" s="185"/>
      <c r="EV35" s="185"/>
      <c r="EW35" s="185">
        <v>2</v>
      </c>
      <c r="EX35" s="185"/>
      <c r="EY35" s="185"/>
      <c r="EZ35" s="185"/>
      <c r="FA35" s="185"/>
      <c r="FB35" s="185"/>
      <c r="FC35" s="185"/>
      <c r="FD35" s="185"/>
      <c r="FE35" s="185"/>
      <c r="FF35" s="185"/>
      <c r="FG35" s="185"/>
      <c r="FH35" s="185"/>
      <c r="FI35" s="132">
        <f t="shared" si="14"/>
        <v>40</v>
      </c>
      <c r="FJ35" s="185">
        <v>0</v>
      </c>
      <c r="FK35" s="130">
        <f t="shared" si="15"/>
        <v>438</v>
      </c>
      <c r="FL35" s="130">
        <f t="shared" si="16"/>
        <v>4</v>
      </c>
      <c r="FM35" s="133">
        <f t="shared" si="17"/>
        <v>401</v>
      </c>
      <c r="FN35" s="134">
        <f t="shared" si="20"/>
        <v>40</v>
      </c>
      <c r="FO35" s="67"/>
      <c r="FP35" s="67"/>
    </row>
    <row r="36" spans="1:172" x14ac:dyDescent="0.25">
      <c r="A36" s="14">
        <v>32</v>
      </c>
      <c r="B36" s="2" t="s">
        <v>35</v>
      </c>
      <c r="C36" s="15"/>
      <c r="D36" s="183"/>
      <c r="E36" s="150">
        <v>35</v>
      </c>
      <c r="F36" s="150"/>
      <c r="G36" s="136"/>
      <c r="H36" s="136"/>
      <c r="I36" s="136"/>
      <c r="J36" s="136"/>
      <c r="K36" s="136">
        <v>-1</v>
      </c>
      <c r="L36" s="136">
        <v>-1</v>
      </c>
      <c r="M36" s="136">
        <v>-5</v>
      </c>
      <c r="N36" s="136">
        <v>-4</v>
      </c>
      <c r="O36" s="136"/>
      <c r="P36" s="136"/>
      <c r="Q36" s="183"/>
      <c r="R36" s="183"/>
      <c r="S36" s="183"/>
      <c r="T36" s="183"/>
      <c r="U36" s="183"/>
      <c r="V36" s="183"/>
      <c r="W36" s="183"/>
      <c r="X36" s="131">
        <v>36</v>
      </c>
      <c r="Y36" s="131"/>
      <c r="Z36" s="130"/>
      <c r="AA36" s="130">
        <v>4</v>
      </c>
      <c r="AB36" s="130">
        <v>103</v>
      </c>
      <c r="AC36" s="130"/>
      <c r="AD36" s="130">
        <v>8</v>
      </c>
      <c r="AE36" s="130">
        <f>9-3</f>
        <v>6</v>
      </c>
      <c r="AF36" s="169">
        <f>17-3</f>
        <v>14</v>
      </c>
      <c r="AG36" s="130">
        <v>38</v>
      </c>
      <c r="AH36" s="185">
        <v>12</v>
      </c>
      <c r="AI36" s="185">
        <v>2</v>
      </c>
      <c r="AJ36" s="185">
        <v>1</v>
      </c>
      <c r="AK36" s="185">
        <v>5</v>
      </c>
      <c r="AL36" s="169">
        <v>-1</v>
      </c>
      <c r="AM36" s="185">
        <v>2</v>
      </c>
      <c r="AN36" s="184"/>
      <c r="AO36" s="185"/>
      <c r="AP36" s="185">
        <v>3</v>
      </c>
      <c r="AQ36" s="185">
        <v>1</v>
      </c>
      <c r="AR36" s="169">
        <f>2-1</f>
        <v>1</v>
      </c>
      <c r="AS36" s="169">
        <f>6-3</f>
        <v>3</v>
      </c>
      <c r="AT36" s="169">
        <f>1-1</f>
        <v>0</v>
      </c>
      <c r="AU36" s="130">
        <v>1</v>
      </c>
      <c r="AV36" s="184">
        <v>0</v>
      </c>
      <c r="AW36" s="185">
        <v>1</v>
      </c>
      <c r="AX36" s="184">
        <v>0</v>
      </c>
      <c r="AY36" s="154">
        <f t="shared" si="12"/>
        <v>229</v>
      </c>
      <c r="AZ36" s="185">
        <v>2</v>
      </c>
      <c r="BA36" s="131"/>
      <c r="BB36" s="131"/>
      <c r="BC36" s="130"/>
      <c r="BD36" s="130"/>
      <c r="BE36" s="130">
        <v>19</v>
      </c>
      <c r="BF36" s="130"/>
      <c r="BG36" s="130"/>
      <c r="BH36" s="130">
        <v>3</v>
      </c>
      <c r="BI36" s="169">
        <f>6+3</f>
        <v>9</v>
      </c>
      <c r="BJ36" s="130">
        <v>13</v>
      </c>
      <c r="BK36" s="185">
        <v>1</v>
      </c>
      <c r="BL36" s="185">
        <v>2</v>
      </c>
      <c r="BM36" s="185"/>
      <c r="BN36" s="185"/>
      <c r="BO36" s="169">
        <v>1</v>
      </c>
      <c r="BP36" s="185"/>
      <c r="BQ36" s="185"/>
      <c r="BR36" s="185"/>
      <c r="BS36" s="185"/>
      <c r="BT36" s="185"/>
      <c r="BU36" s="185"/>
      <c r="BV36" s="185">
        <v>1</v>
      </c>
      <c r="BW36" s="185"/>
      <c r="BX36" s="185"/>
      <c r="BY36" s="184"/>
      <c r="BZ36" s="185"/>
      <c r="CA36" s="184">
        <v>0</v>
      </c>
      <c r="CB36" s="154">
        <f t="shared" si="13"/>
        <v>49</v>
      </c>
      <c r="CC36" s="185">
        <v>0</v>
      </c>
      <c r="CD36" s="130">
        <f t="shared" ref="CD36:CD54" si="22">+AY36+CB36</f>
        <v>278</v>
      </c>
      <c r="CE36" s="130">
        <f t="shared" ref="CE36:CE54" si="23">+AZ36+CC36</f>
        <v>2</v>
      </c>
      <c r="CF36" s="133">
        <f t="shared" ref="CF36:CF54" si="24">+AY36+AZ36+D36</f>
        <v>231</v>
      </c>
      <c r="CG36" s="134">
        <f t="shared" si="21"/>
        <v>49</v>
      </c>
      <c r="CH36" s="14">
        <v>82</v>
      </c>
      <c r="CI36" s="2" t="s">
        <v>85</v>
      </c>
      <c r="CJ36" s="22"/>
      <c r="CK36" s="183">
        <v>-1</v>
      </c>
      <c r="CL36" s="16">
        <v>23</v>
      </c>
      <c r="CM36" s="16"/>
      <c r="CN36" s="17"/>
      <c r="CO36" s="17"/>
      <c r="CP36" s="17">
        <v>-3</v>
      </c>
      <c r="CQ36" s="17"/>
      <c r="CR36" s="136"/>
      <c r="CS36" s="136"/>
      <c r="CT36" s="136"/>
      <c r="CU36" s="136"/>
      <c r="CV36" s="136"/>
      <c r="CW36" s="136"/>
      <c r="CX36" s="183"/>
      <c r="CY36" s="183"/>
      <c r="CZ36" s="183"/>
      <c r="DA36" s="183"/>
      <c r="DB36" s="183"/>
      <c r="DC36" s="183"/>
      <c r="DD36" s="183"/>
      <c r="DE36" s="18">
        <v>24</v>
      </c>
      <c r="DF36" s="18"/>
      <c r="DG36" s="19"/>
      <c r="DH36" s="19">
        <v>6</v>
      </c>
      <c r="DI36" s="19">
        <v>15</v>
      </c>
      <c r="DJ36" s="19">
        <v>1</v>
      </c>
      <c r="DK36" s="130"/>
      <c r="DL36" s="130">
        <v>2</v>
      </c>
      <c r="DM36" s="130">
        <v>1</v>
      </c>
      <c r="DN36" s="130">
        <v>4</v>
      </c>
      <c r="DO36" s="185">
        <v>4</v>
      </c>
      <c r="DP36" s="185"/>
      <c r="DQ36" s="185">
        <v>3</v>
      </c>
      <c r="DR36" s="185">
        <v>3</v>
      </c>
      <c r="DS36" s="185">
        <v>1</v>
      </c>
      <c r="DT36" s="185"/>
      <c r="DU36" s="185"/>
      <c r="DV36" s="185"/>
      <c r="DW36" s="185">
        <v>1</v>
      </c>
      <c r="DX36" s="185">
        <v>1</v>
      </c>
      <c r="DY36" s="185">
        <v>4</v>
      </c>
      <c r="DZ36" s="169">
        <f>7-2</f>
        <v>5</v>
      </c>
      <c r="EA36" s="185">
        <v>1</v>
      </c>
      <c r="EB36" s="185"/>
      <c r="EC36" s="185"/>
      <c r="ED36" s="185"/>
      <c r="EE36" s="185">
        <v>0</v>
      </c>
      <c r="EF36" s="132">
        <f t="shared" si="19"/>
        <v>73</v>
      </c>
      <c r="EG36" s="185">
        <v>1</v>
      </c>
      <c r="EH36" s="131"/>
      <c r="EI36" s="131"/>
      <c r="EJ36" s="130"/>
      <c r="EK36" s="130"/>
      <c r="EL36" s="130"/>
      <c r="EM36" s="130"/>
      <c r="EN36" s="130"/>
      <c r="EO36" s="130"/>
      <c r="EP36" s="130"/>
      <c r="EQ36" s="130"/>
      <c r="ER36" s="185"/>
      <c r="ES36" s="185"/>
      <c r="ET36" s="185"/>
      <c r="EU36" s="185"/>
      <c r="EV36" s="185"/>
      <c r="EW36" s="185"/>
      <c r="EX36" s="185"/>
      <c r="EY36" s="185"/>
      <c r="EZ36" s="185"/>
      <c r="FA36" s="185"/>
      <c r="FB36" s="185"/>
      <c r="FC36" s="185"/>
      <c r="FD36" s="185"/>
      <c r="FE36" s="185"/>
      <c r="FF36" s="185"/>
      <c r="FG36" s="185"/>
      <c r="FH36" s="185"/>
      <c r="FI36" s="132">
        <f t="shared" si="14"/>
        <v>0</v>
      </c>
      <c r="FJ36" s="185">
        <v>0</v>
      </c>
      <c r="FK36" s="130">
        <f t="shared" si="15"/>
        <v>73</v>
      </c>
      <c r="FL36" s="130">
        <f t="shared" si="16"/>
        <v>1</v>
      </c>
      <c r="FM36" s="133">
        <f t="shared" si="17"/>
        <v>73</v>
      </c>
      <c r="FN36" s="134">
        <f t="shared" si="20"/>
        <v>0</v>
      </c>
      <c r="FO36" s="67"/>
      <c r="FP36" s="67"/>
    </row>
    <row r="37" spans="1:172" x14ac:dyDescent="0.25">
      <c r="A37" s="14">
        <v>33</v>
      </c>
      <c r="B37" s="2" t="s">
        <v>36</v>
      </c>
      <c r="C37" s="15"/>
      <c r="D37" s="183"/>
      <c r="E37" s="150">
        <v>88</v>
      </c>
      <c r="F37" s="150"/>
      <c r="G37" s="136"/>
      <c r="H37" s="136">
        <v>-1</v>
      </c>
      <c r="I37" s="136"/>
      <c r="J37" s="136"/>
      <c r="K37" s="136"/>
      <c r="L37" s="136"/>
      <c r="M37" s="136"/>
      <c r="N37" s="136">
        <v>-2</v>
      </c>
      <c r="O37" s="136">
        <v>-1</v>
      </c>
      <c r="P37" s="136"/>
      <c r="Q37" s="183"/>
      <c r="R37" s="183"/>
      <c r="S37" s="183"/>
      <c r="T37" s="183">
        <v>-2</v>
      </c>
      <c r="U37" s="183">
        <v>-3</v>
      </c>
      <c r="V37" s="183"/>
      <c r="W37" s="183"/>
      <c r="X37" s="131">
        <v>87</v>
      </c>
      <c r="Y37" s="131">
        <v>4</v>
      </c>
      <c r="Z37" s="130">
        <v>3</v>
      </c>
      <c r="AA37" s="130">
        <v>6</v>
      </c>
      <c r="AB37" s="130">
        <v>12</v>
      </c>
      <c r="AC37" s="130">
        <v>3</v>
      </c>
      <c r="AD37" s="130">
        <v>6</v>
      </c>
      <c r="AE37" s="130">
        <v>6</v>
      </c>
      <c r="AF37" s="130">
        <v>7</v>
      </c>
      <c r="AG37" s="130">
        <v>21</v>
      </c>
      <c r="AH37" s="185">
        <v>4</v>
      </c>
      <c r="AI37" s="185">
        <v>6</v>
      </c>
      <c r="AJ37" s="185">
        <v>3</v>
      </c>
      <c r="AK37" s="185">
        <v>20</v>
      </c>
      <c r="AL37" s="185">
        <v>21</v>
      </c>
      <c r="AM37" s="185">
        <v>38</v>
      </c>
      <c r="AN37" s="169">
        <f>48-3</f>
        <v>45</v>
      </c>
      <c r="AO37" s="185">
        <v>45</v>
      </c>
      <c r="AP37" s="185">
        <v>10</v>
      </c>
      <c r="AQ37" s="185">
        <v>18</v>
      </c>
      <c r="AR37" s="184">
        <v>20</v>
      </c>
      <c r="AS37" s="184">
        <v>6</v>
      </c>
      <c r="AT37" s="185">
        <v>0</v>
      </c>
      <c r="AU37" s="185">
        <v>7</v>
      </c>
      <c r="AV37" s="173">
        <f>3-1</f>
        <v>2</v>
      </c>
      <c r="AW37" s="173">
        <f>5-1</f>
        <v>4</v>
      </c>
      <c r="AX37" s="141">
        <v>0</v>
      </c>
      <c r="AY37" s="154">
        <f t="shared" si="12"/>
        <v>395</v>
      </c>
      <c r="AZ37" s="185">
        <v>2</v>
      </c>
      <c r="BA37" s="131">
        <v>7</v>
      </c>
      <c r="BB37" s="131"/>
      <c r="BC37" s="130"/>
      <c r="BD37" s="130">
        <v>8</v>
      </c>
      <c r="BE37" s="130"/>
      <c r="BF37" s="130"/>
      <c r="BG37" s="130"/>
      <c r="BH37" s="130"/>
      <c r="BI37" s="130"/>
      <c r="BJ37" s="130"/>
      <c r="BK37" s="185">
        <v>1</v>
      </c>
      <c r="BL37" s="185">
        <v>1</v>
      </c>
      <c r="BM37" s="185"/>
      <c r="BN37" s="185"/>
      <c r="BO37" s="185"/>
      <c r="BP37" s="185"/>
      <c r="BQ37" s="185"/>
      <c r="BR37" s="185"/>
      <c r="BS37" s="185"/>
      <c r="BT37" s="185"/>
      <c r="BU37" s="185"/>
      <c r="BV37" s="185"/>
      <c r="BW37" s="185"/>
      <c r="BX37" s="185"/>
      <c r="BY37" s="184"/>
      <c r="BZ37" s="185"/>
      <c r="CA37" s="184">
        <v>0</v>
      </c>
      <c r="CB37" s="154">
        <f t="shared" si="13"/>
        <v>17</v>
      </c>
      <c r="CC37" s="185">
        <v>0</v>
      </c>
      <c r="CD37" s="130">
        <f t="shared" si="22"/>
        <v>412</v>
      </c>
      <c r="CE37" s="130">
        <f t="shared" si="23"/>
        <v>2</v>
      </c>
      <c r="CF37" s="133">
        <f t="shared" si="24"/>
        <v>397</v>
      </c>
      <c r="CG37" s="134">
        <f t="shared" si="21"/>
        <v>17</v>
      </c>
      <c r="CH37" s="14">
        <v>83</v>
      </c>
      <c r="CI37" s="2" t="s">
        <v>86</v>
      </c>
      <c r="CJ37" s="22"/>
      <c r="CK37" s="183">
        <v>-2</v>
      </c>
      <c r="CL37" s="16">
        <v>169</v>
      </c>
      <c r="CM37" s="16"/>
      <c r="CN37" s="17"/>
      <c r="CO37" s="17">
        <v>-2</v>
      </c>
      <c r="CP37" s="17"/>
      <c r="CQ37" s="17">
        <v>-3</v>
      </c>
      <c r="CR37" s="136">
        <v>-3</v>
      </c>
      <c r="CS37" s="136">
        <v>-1</v>
      </c>
      <c r="CT37" s="136">
        <v>-2</v>
      </c>
      <c r="CU37" s="136">
        <v>-10</v>
      </c>
      <c r="CV37" s="136">
        <v>-2</v>
      </c>
      <c r="CW37" s="136">
        <v>-6</v>
      </c>
      <c r="CX37" s="183">
        <v>-2</v>
      </c>
      <c r="CY37" s="183">
        <v>-3</v>
      </c>
      <c r="CZ37" s="183">
        <v>-3</v>
      </c>
      <c r="DA37" s="183">
        <v>-1</v>
      </c>
      <c r="DB37" s="183"/>
      <c r="DC37" s="183">
        <v>-1</v>
      </c>
      <c r="DD37" s="183">
        <v>-1</v>
      </c>
      <c r="DE37" s="18">
        <v>233</v>
      </c>
      <c r="DF37" s="18">
        <v>4</v>
      </c>
      <c r="DG37" s="19">
        <v>33</v>
      </c>
      <c r="DH37" s="19">
        <v>35</v>
      </c>
      <c r="DI37" s="19">
        <v>41</v>
      </c>
      <c r="DJ37" s="19">
        <v>67</v>
      </c>
      <c r="DK37" s="130">
        <v>52</v>
      </c>
      <c r="DL37" s="130">
        <v>72</v>
      </c>
      <c r="DM37" s="130">
        <v>36</v>
      </c>
      <c r="DN37" s="130">
        <v>53</v>
      </c>
      <c r="DO37" s="185">
        <v>44</v>
      </c>
      <c r="DP37" s="169">
        <f>34-1</f>
        <v>33</v>
      </c>
      <c r="DQ37" s="185">
        <v>59</v>
      </c>
      <c r="DR37" s="185">
        <v>30</v>
      </c>
      <c r="DS37" s="185">
        <v>27</v>
      </c>
      <c r="DT37" s="185">
        <v>12</v>
      </c>
      <c r="DU37" s="169">
        <f>35-3</f>
        <v>32</v>
      </c>
      <c r="DV37" s="185">
        <v>13</v>
      </c>
      <c r="DW37" s="185">
        <v>26</v>
      </c>
      <c r="DX37" s="185">
        <v>6</v>
      </c>
      <c r="DY37" s="169">
        <f>10-1</f>
        <v>9</v>
      </c>
      <c r="DZ37" s="169">
        <f>15-2</f>
        <v>13</v>
      </c>
      <c r="EA37" s="169">
        <f>3-2</f>
        <v>1</v>
      </c>
      <c r="EB37" s="225">
        <f>38-5-2</f>
        <v>31</v>
      </c>
      <c r="EC37" s="185">
        <v>5</v>
      </c>
      <c r="ED37" s="169">
        <f>9-2</f>
        <v>7</v>
      </c>
      <c r="EE37" s="130">
        <v>10</v>
      </c>
      <c r="EF37" s="132">
        <f t="shared" si="19"/>
        <v>944</v>
      </c>
      <c r="EG37" s="185">
        <v>4</v>
      </c>
      <c r="EH37" s="131">
        <v>2</v>
      </c>
      <c r="EI37" s="131"/>
      <c r="EJ37" s="130"/>
      <c r="EK37" s="130"/>
      <c r="EL37" s="130"/>
      <c r="EM37" s="130"/>
      <c r="EN37" s="130"/>
      <c r="EO37" s="130">
        <v>2</v>
      </c>
      <c r="EP37" s="130">
        <v>2</v>
      </c>
      <c r="EQ37" s="130">
        <v>4</v>
      </c>
      <c r="ER37" s="185">
        <v>2</v>
      </c>
      <c r="ES37" s="169">
        <f>1+1</f>
        <v>2</v>
      </c>
      <c r="ET37" s="185">
        <v>1</v>
      </c>
      <c r="EU37" s="185"/>
      <c r="EV37" s="185"/>
      <c r="EW37" s="185"/>
      <c r="EX37" s="185"/>
      <c r="EY37" s="185">
        <v>5</v>
      </c>
      <c r="EZ37" s="185"/>
      <c r="FA37" s="185"/>
      <c r="FB37" s="185">
        <v>1</v>
      </c>
      <c r="FC37" s="185"/>
      <c r="FD37" s="185"/>
      <c r="FE37" s="225">
        <f>2</f>
        <v>2</v>
      </c>
      <c r="FF37" s="185"/>
      <c r="FG37" s="185"/>
      <c r="FH37" s="185"/>
      <c r="FI37" s="132">
        <f t="shared" si="14"/>
        <v>23</v>
      </c>
      <c r="FJ37" s="185">
        <v>0</v>
      </c>
      <c r="FK37" s="130">
        <f t="shared" ref="FK37:FK55" si="25">+EF37+FI37</f>
        <v>967</v>
      </c>
      <c r="FL37" s="130">
        <f t="shared" ref="FL37:FL55" si="26">+EG37+FJ37</f>
        <v>4</v>
      </c>
      <c r="FM37" s="133">
        <f t="shared" ref="FM37:FM55" si="27">+EF37+EG37+CK37</f>
        <v>946</v>
      </c>
      <c r="FN37" s="134">
        <f t="shared" si="20"/>
        <v>23</v>
      </c>
      <c r="FO37" s="67"/>
      <c r="FP37" s="67"/>
    </row>
    <row r="38" spans="1:172" x14ac:dyDescent="0.25">
      <c r="A38" s="14">
        <v>34</v>
      </c>
      <c r="B38" s="2" t="s">
        <v>37</v>
      </c>
      <c r="C38" s="15"/>
      <c r="D38" s="183">
        <v>-6</v>
      </c>
      <c r="E38" s="150">
        <v>70</v>
      </c>
      <c r="F38" s="150"/>
      <c r="G38" s="136"/>
      <c r="H38" s="136"/>
      <c r="I38" s="136"/>
      <c r="J38" s="136"/>
      <c r="K38" s="136">
        <v>-2</v>
      </c>
      <c r="L38" s="136"/>
      <c r="M38" s="136">
        <v>-2</v>
      </c>
      <c r="N38" s="136">
        <v>-1</v>
      </c>
      <c r="O38" s="136">
        <v>-3</v>
      </c>
      <c r="P38" s="136"/>
      <c r="Q38" s="183"/>
      <c r="R38" s="183"/>
      <c r="S38" s="183">
        <v>-2</v>
      </c>
      <c r="T38" s="183">
        <v>-2</v>
      </c>
      <c r="U38" s="183">
        <v>-1</v>
      </c>
      <c r="V38" s="183"/>
      <c r="W38" s="183"/>
      <c r="X38" s="131">
        <v>76</v>
      </c>
      <c r="Y38" s="131">
        <v>2</v>
      </c>
      <c r="Z38" s="130">
        <v>20</v>
      </c>
      <c r="AA38" s="130">
        <v>9</v>
      </c>
      <c r="AB38" s="130">
        <v>9</v>
      </c>
      <c r="AC38" s="130">
        <v>11</v>
      </c>
      <c r="AD38" s="130">
        <v>72</v>
      </c>
      <c r="AE38" s="130">
        <v>1</v>
      </c>
      <c r="AF38" s="130">
        <v>28</v>
      </c>
      <c r="AG38" s="169">
        <f>47-1</f>
        <v>46</v>
      </c>
      <c r="AH38" s="185">
        <v>29</v>
      </c>
      <c r="AI38" s="185">
        <v>6</v>
      </c>
      <c r="AJ38" s="185">
        <v>5</v>
      </c>
      <c r="AK38" s="185">
        <v>15</v>
      </c>
      <c r="AL38" s="185">
        <v>19</v>
      </c>
      <c r="AM38" s="185">
        <v>27</v>
      </c>
      <c r="AN38" s="184">
        <v>4</v>
      </c>
      <c r="AO38" s="185">
        <v>11</v>
      </c>
      <c r="AP38" s="185">
        <v>6</v>
      </c>
      <c r="AQ38" s="185">
        <v>15</v>
      </c>
      <c r="AR38" s="184">
        <v>4</v>
      </c>
      <c r="AS38" s="169">
        <f>10-1</f>
        <v>9</v>
      </c>
      <c r="AT38" s="185">
        <v>1</v>
      </c>
      <c r="AU38" s="228">
        <f>3+1</f>
        <v>4</v>
      </c>
      <c r="AV38" s="173">
        <f>7-2</f>
        <v>5</v>
      </c>
      <c r="AW38" s="173">
        <f>3-1</f>
        <v>2</v>
      </c>
      <c r="AX38" s="141">
        <v>4</v>
      </c>
      <c r="AY38" s="224">
        <v>428</v>
      </c>
      <c r="AZ38" s="185">
        <v>45</v>
      </c>
      <c r="BA38" s="131">
        <v>5</v>
      </c>
      <c r="BB38" s="131"/>
      <c r="BC38" s="130"/>
      <c r="BD38" s="130">
        <v>-5</v>
      </c>
      <c r="BE38" s="130"/>
      <c r="BF38" s="130"/>
      <c r="BG38" s="130">
        <v>1</v>
      </c>
      <c r="BH38" s="130"/>
      <c r="BI38" s="130"/>
      <c r="BJ38" s="169">
        <v>1</v>
      </c>
      <c r="BK38" s="185">
        <v>2</v>
      </c>
      <c r="BL38" s="185"/>
      <c r="BM38" s="185"/>
      <c r="BN38" s="185"/>
      <c r="BO38" s="185"/>
      <c r="BP38" s="185"/>
      <c r="BQ38" s="185"/>
      <c r="BR38" s="185"/>
      <c r="BS38" s="185"/>
      <c r="BT38" s="185"/>
      <c r="BU38" s="185"/>
      <c r="BV38" s="185"/>
      <c r="BW38" s="185">
        <v>1</v>
      </c>
      <c r="BX38" s="185"/>
      <c r="BY38" s="184"/>
      <c r="BZ38" s="185"/>
      <c r="CA38" s="184">
        <v>0</v>
      </c>
      <c r="CB38" s="224">
        <v>4</v>
      </c>
      <c r="CC38" s="185">
        <v>5</v>
      </c>
      <c r="CD38" s="130">
        <f t="shared" si="22"/>
        <v>432</v>
      </c>
      <c r="CE38" s="130">
        <f t="shared" si="23"/>
        <v>50</v>
      </c>
      <c r="CF38" s="133">
        <f t="shared" si="24"/>
        <v>467</v>
      </c>
      <c r="CG38" s="134">
        <f t="shared" si="21"/>
        <v>9</v>
      </c>
      <c r="CH38" s="14">
        <v>84</v>
      </c>
      <c r="CI38" s="2" t="s">
        <v>87</v>
      </c>
      <c r="CJ38" s="22"/>
      <c r="CK38" s="183">
        <v>-3</v>
      </c>
      <c r="CL38" s="16">
        <v>288</v>
      </c>
      <c r="CM38" s="16"/>
      <c r="CN38" s="17">
        <v>-3</v>
      </c>
      <c r="CO38" s="17">
        <v>-1</v>
      </c>
      <c r="CP38" s="17">
        <v>-1</v>
      </c>
      <c r="CQ38" s="17">
        <v>-1</v>
      </c>
      <c r="CR38" s="136">
        <v>-1</v>
      </c>
      <c r="CS38" s="136">
        <v>-2</v>
      </c>
      <c r="CT38" s="136"/>
      <c r="CU38" s="136">
        <v>-1</v>
      </c>
      <c r="CV38" s="136">
        <v>-3</v>
      </c>
      <c r="CW38" s="136">
        <v>-2</v>
      </c>
      <c r="CX38" s="183"/>
      <c r="CY38" s="183">
        <v>-3</v>
      </c>
      <c r="CZ38" s="183">
        <v>-8</v>
      </c>
      <c r="DA38" s="183">
        <v>-8</v>
      </c>
      <c r="DB38" s="183"/>
      <c r="DC38" s="183"/>
      <c r="DD38" s="183"/>
      <c r="DE38" s="18">
        <v>304</v>
      </c>
      <c r="DF38" s="18">
        <v>25</v>
      </c>
      <c r="DG38" s="19">
        <v>41</v>
      </c>
      <c r="DH38" s="19">
        <v>70</v>
      </c>
      <c r="DI38" s="19">
        <v>39</v>
      </c>
      <c r="DJ38" s="19">
        <v>25</v>
      </c>
      <c r="DK38" s="130">
        <v>7</v>
      </c>
      <c r="DL38" s="130">
        <v>20</v>
      </c>
      <c r="DM38" s="130">
        <v>5</v>
      </c>
      <c r="DN38" s="169">
        <f>54-1</f>
        <v>53</v>
      </c>
      <c r="DO38" s="185">
        <v>11</v>
      </c>
      <c r="DP38" s="185">
        <v>11</v>
      </c>
      <c r="DQ38" s="185">
        <v>26</v>
      </c>
      <c r="DR38" s="185">
        <v>30</v>
      </c>
      <c r="DS38" s="185">
        <v>110</v>
      </c>
      <c r="DT38" s="185">
        <v>48</v>
      </c>
      <c r="DU38" s="169">
        <f>26-2</f>
        <v>24</v>
      </c>
      <c r="DV38" s="169">
        <f>36-1</f>
        <v>35</v>
      </c>
      <c r="DW38" s="185">
        <v>32</v>
      </c>
      <c r="DX38" s="185">
        <v>40</v>
      </c>
      <c r="DY38" s="185">
        <f>20</f>
        <v>20</v>
      </c>
      <c r="DZ38" s="169">
        <f>20-1</f>
        <v>19</v>
      </c>
      <c r="EA38" s="169">
        <f>7-2</f>
        <v>5</v>
      </c>
      <c r="EB38" s="225">
        <f>19+1</f>
        <v>20</v>
      </c>
      <c r="EC38" s="185">
        <v>3</v>
      </c>
      <c r="ED38" s="169">
        <f>10-2</f>
        <v>8</v>
      </c>
      <c r="EE38" s="169">
        <f>17-1</f>
        <v>16</v>
      </c>
      <c r="EF38" s="132">
        <f t="shared" si="19"/>
        <v>1013</v>
      </c>
      <c r="EG38" s="185">
        <v>13</v>
      </c>
      <c r="EH38" s="131">
        <v>1</v>
      </c>
      <c r="EI38" s="131"/>
      <c r="EJ38" s="130">
        <v>4</v>
      </c>
      <c r="EK38" s="130">
        <v>8</v>
      </c>
      <c r="EL38" s="130">
        <v>3</v>
      </c>
      <c r="EM38" s="130"/>
      <c r="EN38" s="130"/>
      <c r="EO38" s="130">
        <v>3</v>
      </c>
      <c r="EP38" s="130"/>
      <c r="EQ38" s="130">
        <v>1</v>
      </c>
      <c r="ER38" s="185">
        <v>4</v>
      </c>
      <c r="ES38" s="185">
        <v>1</v>
      </c>
      <c r="ET38" s="185">
        <v>3</v>
      </c>
      <c r="EU38" s="185">
        <v>5</v>
      </c>
      <c r="EV38" s="185">
        <v>1</v>
      </c>
      <c r="EW38" s="185">
        <v>3</v>
      </c>
      <c r="EX38" s="185">
        <v>2</v>
      </c>
      <c r="EY38" s="169">
        <f>2+1</f>
        <v>3</v>
      </c>
      <c r="EZ38" s="185"/>
      <c r="FA38" s="185">
        <v>1</v>
      </c>
      <c r="FB38" s="185"/>
      <c r="FC38" s="185">
        <v>1</v>
      </c>
      <c r="FD38" s="185"/>
      <c r="FE38" s="225">
        <f>1-1</f>
        <v>0</v>
      </c>
      <c r="FF38" s="185"/>
      <c r="FG38" s="185">
        <v>1</v>
      </c>
      <c r="FH38" s="185">
        <v>1</v>
      </c>
      <c r="FI38" s="132">
        <f t="shared" si="14"/>
        <v>46</v>
      </c>
      <c r="FJ38" s="185">
        <v>0</v>
      </c>
      <c r="FK38" s="130">
        <f t="shared" si="25"/>
        <v>1059</v>
      </c>
      <c r="FL38" s="130">
        <f t="shared" si="26"/>
        <v>13</v>
      </c>
      <c r="FM38" s="133">
        <f t="shared" si="27"/>
        <v>1023</v>
      </c>
      <c r="FN38" s="134">
        <f t="shared" si="20"/>
        <v>46</v>
      </c>
      <c r="FO38" s="67"/>
      <c r="FP38" s="67"/>
    </row>
    <row r="39" spans="1:172" x14ac:dyDescent="0.25">
      <c r="A39" s="14">
        <v>35</v>
      </c>
      <c r="B39" s="2" t="s">
        <v>38</v>
      </c>
      <c r="C39" s="15"/>
      <c r="D39" s="183"/>
      <c r="E39" s="150">
        <v>85</v>
      </c>
      <c r="F39" s="150">
        <v>-1</v>
      </c>
      <c r="G39" s="136">
        <v>-1</v>
      </c>
      <c r="H39" s="136">
        <v>-1</v>
      </c>
      <c r="I39" s="136">
        <v>-3</v>
      </c>
      <c r="J39" s="136"/>
      <c r="K39" s="136"/>
      <c r="L39" s="136">
        <v>-1</v>
      </c>
      <c r="M39" s="136">
        <v>-2</v>
      </c>
      <c r="N39" s="136"/>
      <c r="O39" s="136">
        <v>-6</v>
      </c>
      <c r="P39" s="136"/>
      <c r="Q39" s="183"/>
      <c r="R39" s="183"/>
      <c r="S39" s="183">
        <v>-1</v>
      </c>
      <c r="T39" s="183"/>
      <c r="U39" s="183"/>
      <c r="V39" s="183"/>
      <c r="W39" s="183"/>
      <c r="X39" s="131">
        <v>84</v>
      </c>
      <c r="Y39" s="131">
        <v>3</v>
      </c>
      <c r="Z39" s="130">
        <v>4</v>
      </c>
      <c r="AA39" s="130">
        <v>6</v>
      </c>
      <c r="AB39" s="130">
        <v>3</v>
      </c>
      <c r="AC39" s="130">
        <v>12</v>
      </c>
      <c r="AD39" s="130">
        <f>9-1</f>
        <v>8</v>
      </c>
      <c r="AE39" s="130">
        <f>17-4</f>
        <v>13</v>
      </c>
      <c r="AF39" s="130">
        <v>18</v>
      </c>
      <c r="AG39" s="130">
        <v>11</v>
      </c>
      <c r="AH39" s="185">
        <v>6</v>
      </c>
      <c r="AI39" s="169">
        <f>10-1</f>
        <v>9</v>
      </c>
      <c r="AJ39" s="185">
        <v>14</v>
      </c>
      <c r="AK39" s="185">
        <v>2</v>
      </c>
      <c r="AL39" s="169">
        <f>4+1</f>
        <v>5</v>
      </c>
      <c r="AM39" s="169">
        <f>3+2</f>
        <v>5</v>
      </c>
      <c r="AN39" s="141"/>
      <c r="AO39" s="185"/>
      <c r="AP39" s="185">
        <v>2</v>
      </c>
      <c r="AQ39" s="185">
        <v>3</v>
      </c>
      <c r="AR39" s="184">
        <v>2</v>
      </c>
      <c r="AS39" s="169">
        <f>6-2</f>
        <v>4</v>
      </c>
      <c r="AT39" s="185">
        <f>0</f>
        <v>0</v>
      </c>
      <c r="AU39" s="228">
        <f>4-1+2</f>
        <v>5</v>
      </c>
      <c r="AV39" s="173">
        <f>4-3</f>
        <v>1</v>
      </c>
      <c r="AW39" s="185">
        <v>0</v>
      </c>
      <c r="AX39" s="184">
        <v>2</v>
      </c>
      <c r="AY39" s="154">
        <f t="shared" si="12"/>
        <v>206</v>
      </c>
      <c r="AZ39" s="185">
        <v>0</v>
      </c>
      <c r="BA39" s="131">
        <v>1</v>
      </c>
      <c r="BB39" s="131"/>
      <c r="BC39" s="130"/>
      <c r="BD39" s="130">
        <v>-1</v>
      </c>
      <c r="BE39" s="130"/>
      <c r="BF39" s="130"/>
      <c r="BG39" s="130">
        <v>1</v>
      </c>
      <c r="BH39" s="130">
        <f>5+4</f>
        <v>9</v>
      </c>
      <c r="BI39" s="130">
        <v>13</v>
      </c>
      <c r="BJ39" s="130"/>
      <c r="BK39" s="185">
        <v>6</v>
      </c>
      <c r="BL39" s="169">
        <f>0+1</f>
        <v>1</v>
      </c>
      <c r="BM39" s="185">
        <v>9</v>
      </c>
      <c r="BN39" s="185"/>
      <c r="BO39" s="169">
        <v>-1</v>
      </c>
      <c r="BP39" s="169">
        <f>2-2</f>
        <v>0</v>
      </c>
      <c r="BQ39" s="185"/>
      <c r="BR39" s="185"/>
      <c r="BS39" s="185">
        <v>1</v>
      </c>
      <c r="BT39" s="185">
        <v>1</v>
      </c>
      <c r="BU39" s="185"/>
      <c r="BV39" s="185"/>
      <c r="BW39" s="185"/>
      <c r="BX39" s="224">
        <v>-2</v>
      </c>
      <c r="BY39" s="184"/>
      <c r="BZ39" s="185">
        <v>2</v>
      </c>
      <c r="CA39" s="184">
        <v>0</v>
      </c>
      <c r="CB39" s="154">
        <f t="shared" si="13"/>
        <v>40</v>
      </c>
      <c r="CC39" s="185">
        <v>3</v>
      </c>
      <c r="CD39" s="130">
        <f t="shared" si="22"/>
        <v>246</v>
      </c>
      <c r="CE39" s="130">
        <f t="shared" si="23"/>
        <v>3</v>
      </c>
      <c r="CF39" s="133">
        <f t="shared" si="24"/>
        <v>206</v>
      </c>
      <c r="CG39" s="134">
        <f t="shared" si="21"/>
        <v>43</v>
      </c>
      <c r="CH39" s="14">
        <v>85</v>
      </c>
      <c r="CI39" s="2" t="s">
        <v>88</v>
      </c>
      <c r="CJ39" s="22"/>
      <c r="CK39" s="183"/>
      <c r="CL39" s="16">
        <v>100</v>
      </c>
      <c r="CM39" s="16"/>
      <c r="CN39" s="17"/>
      <c r="CO39" s="17"/>
      <c r="CP39" s="17"/>
      <c r="CQ39" s="17"/>
      <c r="CR39" s="136">
        <v>-1</v>
      </c>
      <c r="CS39" s="136"/>
      <c r="CT39" s="136"/>
      <c r="CU39" s="136"/>
      <c r="CV39" s="136">
        <v>-2</v>
      </c>
      <c r="CW39" s="136"/>
      <c r="CX39" s="183"/>
      <c r="CY39" s="183"/>
      <c r="CZ39" s="183"/>
      <c r="DA39" s="183"/>
      <c r="DB39" s="183"/>
      <c r="DC39" s="183"/>
      <c r="DD39" s="183"/>
      <c r="DE39" s="18">
        <v>101</v>
      </c>
      <c r="DF39" s="18">
        <v>7</v>
      </c>
      <c r="DG39" s="19">
        <v>3</v>
      </c>
      <c r="DH39" s="19">
        <v>8</v>
      </c>
      <c r="DI39" s="19">
        <v>1</v>
      </c>
      <c r="DJ39" s="19">
        <v>41</v>
      </c>
      <c r="DK39" s="130">
        <v>14</v>
      </c>
      <c r="DL39" s="130">
        <v>68</v>
      </c>
      <c r="DM39" s="130">
        <v>14</v>
      </c>
      <c r="DN39" s="130">
        <v>5</v>
      </c>
      <c r="DO39" s="185">
        <v>15</v>
      </c>
      <c r="DP39" s="185">
        <v>1</v>
      </c>
      <c r="DQ39" s="185">
        <v>8</v>
      </c>
      <c r="DR39" s="185">
        <v>5</v>
      </c>
      <c r="DS39" s="185">
        <v>2</v>
      </c>
      <c r="DT39" s="185">
        <v>2</v>
      </c>
      <c r="DU39" s="185">
        <v>2</v>
      </c>
      <c r="DV39" s="185">
        <v>5</v>
      </c>
      <c r="DW39" s="185">
        <v>3</v>
      </c>
      <c r="DX39" s="185">
        <v>3</v>
      </c>
      <c r="DY39" s="169">
        <f>12-2</f>
        <v>10</v>
      </c>
      <c r="DZ39" s="169">
        <f>3-1</f>
        <v>2</v>
      </c>
      <c r="EA39" s="185"/>
      <c r="EB39" s="185">
        <v>1</v>
      </c>
      <c r="EC39" s="185">
        <v>6</v>
      </c>
      <c r="ED39" s="169">
        <f>7-2</f>
        <v>5</v>
      </c>
      <c r="EE39" s="130">
        <v>4</v>
      </c>
      <c r="EF39" s="132">
        <f t="shared" si="19"/>
        <v>333</v>
      </c>
      <c r="EG39" s="185">
        <v>1</v>
      </c>
      <c r="EH39" s="131">
        <v>2</v>
      </c>
      <c r="EI39" s="131"/>
      <c r="EJ39" s="130"/>
      <c r="EK39" s="130">
        <v>-1</v>
      </c>
      <c r="EL39" s="130"/>
      <c r="EM39" s="130"/>
      <c r="EN39" s="130"/>
      <c r="EO39" s="130"/>
      <c r="EP39" s="130"/>
      <c r="EQ39" s="130">
        <v>1</v>
      </c>
      <c r="ER39" s="185">
        <v>1</v>
      </c>
      <c r="ES39" s="185">
        <v>1</v>
      </c>
      <c r="ET39" s="185"/>
      <c r="EU39" s="185"/>
      <c r="EV39" s="185"/>
      <c r="EW39" s="185">
        <v>1</v>
      </c>
      <c r="EX39" s="185"/>
      <c r="EY39" s="185"/>
      <c r="EZ39" s="185"/>
      <c r="FA39" s="185"/>
      <c r="FB39" s="185"/>
      <c r="FC39" s="185"/>
      <c r="FD39" s="185"/>
      <c r="FE39" s="185"/>
      <c r="FF39" s="185"/>
      <c r="FG39" s="185"/>
      <c r="FH39" s="185"/>
      <c r="FI39" s="132">
        <f t="shared" si="14"/>
        <v>5</v>
      </c>
      <c r="FJ39" s="185">
        <v>0</v>
      </c>
      <c r="FK39" s="130">
        <f t="shared" si="25"/>
        <v>338</v>
      </c>
      <c r="FL39" s="130">
        <f t="shared" si="26"/>
        <v>1</v>
      </c>
      <c r="FM39" s="133">
        <f t="shared" si="27"/>
        <v>334</v>
      </c>
      <c r="FN39" s="134">
        <f t="shared" si="20"/>
        <v>5</v>
      </c>
      <c r="FO39" s="67"/>
      <c r="FP39" s="67"/>
    </row>
    <row r="40" spans="1:172" x14ac:dyDescent="0.25">
      <c r="A40" s="14">
        <v>36</v>
      </c>
      <c r="B40" s="2" t="s">
        <v>39</v>
      </c>
      <c r="C40" s="15"/>
      <c r="D40" s="183">
        <v>-6</v>
      </c>
      <c r="E40" s="150">
        <v>31</v>
      </c>
      <c r="F40" s="150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83"/>
      <c r="R40" s="183"/>
      <c r="S40" s="183"/>
      <c r="T40" s="183"/>
      <c r="U40" s="183"/>
      <c r="V40" s="183"/>
      <c r="W40" s="183"/>
      <c r="X40" s="131">
        <v>27</v>
      </c>
      <c r="Y40" s="131">
        <v>1</v>
      </c>
      <c r="Z40" s="130">
        <v>11</v>
      </c>
      <c r="AA40" s="130"/>
      <c r="AB40" s="130">
        <v>1</v>
      </c>
      <c r="AC40" s="130">
        <v>3</v>
      </c>
      <c r="AD40" s="130">
        <v>2</v>
      </c>
      <c r="AE40" s="130"/>
      <c r="AF40" s="130">
        <v>1</v>
      </c>
      <c r="AG40" s="130">
        <v>11</v>
      </c>
      <c r="AH40" s="185">
        <v>24</v>
      </c>
      <c r="AI40" s="185"/>
      <c r="AJ40" s="185">
        <v>2</v>
      </c>
      <c r="AK40" s="185"/>
      <c r="AL40" s="185"/>
      <c r="AM40" s="185">
        <v>1</v>
      </c>
      <c r="AN40" s="169">
        <f>11-1</f>
        <v>10</v>
      </c>
      <c r="AO40" s="185">
        <v>2</v>
      </c>
      <c r="AP40" s="185">
        <v>4</v>
      </c>
      <c r="AQ40" s="185">
        <v>18</v>
      </c>
      <c r="AR40" s="169">
        <f>8-1</f>
        <v>7</v>
      </c>
      <c r="AS40" s="169">
        <f>26-1</f>
        <v>25</v>
      </c>
      <c r="AT40" s="185">
        <v>8</v>
      </c>
      <c r="AU40" s="185">
        <v>2</v>
      </c>
      <c r="AV40" s="173">
        <f>1-1</f>
        <v>0</v>
      </c>
      <c r="AW40" s="173">
        <f>3-2</f>
        <v>1</v>
      </c>
      <c r="AX40" s="141">
        <v>0</v>
      </c>
      <c r="AY40" s="154">
        <f t="shared" si="12"/>
        <v>161</v>
      </c>
      <c r="AZ40" s="185">
        <v>6</v>
      </c>
      <c r="BA40" s="131">
        <v>4</v>
      </c>
      <c r="BB40" s="131"/>
      <c r="BC40" s="130">
        <v>-1</v>
      </c>
      <c r="BD40" s="130"/>
      <c r="BE40" s="130"/>
      <c r="BF40" s="130"/>
      <c r="BG40" s="130"/>
      <c r="BH40" s="130"/>
      <c r="BI40" s="130"/>
      <c r="BJ40" s="130"/>
      <c r="BK40" s="185"/>
      <c r="BL40" s="185"/>
      <c r="BM40" s="185"/>
      <c r="BN40" s="185"/>
      <c r="BO40" s="185">
        <v>1</v>
      </c>
      <c r="BP40" s="185"/>
      <c r="BQ40" s="185"/>
      <c r="BR40" s="185"/>
      <c r="BS40" s="185"/>
      <c r="BT40" s="185"/>
      <c r="BU40" s="185"/>
      <c r="BV40" s="185"/>
      <c r="BW40" s="185">
        <v>1</v>
      </c>
      <c r="BX40" s="185"/>
      <c r="BY40" s="184"/>
      <c r="BZ40" s="185"/>
      <c r="CA40" s="184">
        <v>0</v>
      </c>
      <c r="CB40" s="154">
        <f t="shared" si="13"/>
        <v>5</v>
      </c>
      <c r="CC40" s="185">
        <v>0</v>
      </c>
      <c r="CD40" s="130">
        <f t="shared" si="22"/>
        <v>166</v>
      </c>
      <c r="CE40" s="130">
        <f t="shared" si="23"/>
        <v>6</v>
      </c>
      <c r="CF40" s="133">
        <f t="shared" si="24"/>
        <v>161</v>
      </c>
      <c r="CG40" s="134">
        <f t="shared" si="21"/>
        <v>5</v>
      </c>
      <c r="CH40" s="14">
        <v>86</v>
      </c>
      <c r="CI40" s="2" t="s">
        <v>89</v>
      </c>
      <c r="CJ40" s="22"/>
      <c r="CK40" s="183">
        <v>-1</v>
      </c>
      <c r="CL40" s="16">
        <v>33</v>
      </c>
      <c r="CM40" s="16"/>
      <c r="CN40" s="17"/>
      <c r="CO40" s="17"/>
      <c r="CP40" s="17">
        <v>-1</v>
      </c>
      <c r="CQ40" s="17"/>
      <c r="CR40" s="136"/>
      <c r="CS40" s="136"/>
      <c r="CT40" s="136">
        <v>-1</v>
      </c>
      <c r="CU40" s="136"/>
      <c r="CV40" s="136"/>
      <c r="CW40" s="136"/>
      <c r="CX40" s="183"/>
      <c r="CY40" s="183"/>
      <c r="CZ40" s="183"/>
      <c r="DA40" s="183"/>
      <c r="DB40" s="183"/>
      <c r="DC40" s="183"/>
      <c r="DD40" s="183"/>
      <c r="DE40" s="18">
        <v>34</v>
      </c>
      <c r="DF40" s="18">
        <v>4</v>
      </c>
      <c r="DG40" s="19">
        <v>1</v>
      </c>
      <c r="DH40" s="19">
        <v>17</v>
      </c>
      <c r="DI40" s="19">
        <v>3</v>
      </c>
      <c r="DJ40" s="19">
        <v>18</v>
      </c>
      <c r="DK40" s="130">
        <v>7</v>
      </c>
      <c r="DL40" s="130">
        <v>21</v>
      </c>
      <c r="DM40" s="130">
        <v>8</v>
      </c>
      <c r="DN40" s="130">
        <v>3</v>
      </c>
      <c r="DO40" s="185">
        <v>10</v>
      </c>
      <c r="DP40" s="185">
        <v>4</v>
      </c>
      <c r="DQ40" s="185">
        <v>2</v>
      </c>
      <c r="DR40" s="185">
        <v>2</v>
      </c>
      <c r="DS40" s="185">
        <v>3</v>
      </c>
      <c r="DT40" s="185">
        <v>1</v>
      </c>
      <c r="DU40" s="185">
        <v>1</v>
      </c>
      <c r="DV40" s="185">
        <v>8</v>
      </c>
      <c r="DW40" s="185">
        <v>5</v>
      </c>
      <c r="DX40" s="185">
        <v>2</v>
      </c>
      <c r="DY40" s="185">
        <v>2</v>
      </c>
      <c r="DZ40" s="185">
        <v>1</v>
      </c>
      <c r="EA40" s="185">
        <v>2</v>
      </c>
      <c r="EB40" s="185">
        <v>2</v>
      </c>
      <c r="EC40" s="185">
        <v>2</v>
      </c>
      <c r="ED40" s="185">
        <v>1</v>
      </c>
      <c r="EE40" s="185">
        <v>1</v>
      </c>
      <c r="EF40" s="132">
        <f t="shared" si="19"/>
        <v>163</v>
      </c>
      <c r="EG40" s="185">
        <v>6</v>
      </c>
      <c r="EH40" s="131"/>
      <c r="EI40" s="131"/>
      <c r="EJ40" s="130"/>
      <c r="EK40" s="130"/>
      <c r="EL40" s="130"/>
      <c r="EM40" s="130">
        <v>1</v>
      </c>
      <c r="EN40" s="130"/>
      <c r="EO40" s="130"/>
      <c r="EP40" s="130">
        <v>5</v>
      </c>
      <c r="EQ40" s="130">
        <v>1</v>
      </c>
      <c r="ER40" s="185">
        <v>3</v>
      </c>
      <c r="ES40" s="185"/>
      <c r="ET40" s="185"/>
      <c r="EU40" s="185"/>
      <c r="EV40" s="185"/>
      <c r="EW40" s="185"/>
      <c r="EX40" s="185"/>
      <c r="EY40" s="185"/>
      <c r="EZ40" s="185"/>
      <c r="FA40" s="185"/>
      <c r="FB40" s="185"/>
      <c r="FC40" s="185"/>
      <c r="FD40" s="185"/>
      <c r="FE40" s="185"/>
      <c r="FF40" s="185"/>
      <c r="FG40" s="185"/>
      <c r="FH40" s="185"/>
      <c r="FI40" s="132">
        <f t="shared" si="14"/>
        <v>10</v>
      </c>
      <c r="FJ40" s="185">
        <v>0</v>
      </c>
      <c r="FK40" s="130">
        <f t="shared" si="25"/>
        <v>173</v>
      </c>
      <c r="FL40" s="130">
        <f t="shared" si="26"/>
        <v>6</v>
      </c>
      <c r="FM40" s="133">
        <f t="shared" si="27"/>
        <v>168</v>
      </c>
      <c r="FN40" s="134">
        <f t="shared" si="20"/>
        <v>10</v>
      </c>
      <c r="FO40" s="67"/>
      <c r="FP40" s="67"/>
    </row>
    <row r="41" spans="1:172" x14ac:dyDescent="0.25">
      <c r="A41" s="14">
        <v>37</v>
      </c>
      <c r="B41" s="2" t="s">
        <v>40</v>
      </c>
      <c r="C41" s="15"/>
      <c r="D41" s="183"/>
      <c r="E41" s="150">
        <v>56</v>
      </c>
      <c r="F41" s="150"/>
      <c r="G41" s="136"/>
      <c r="H41" s="136"/>
      <c r="I41" s="136"/>
      <c r="J41" s="136">
        <v>-2</v>
      </c>
      <c r="K41" s="136"/>
      <c r="L41" s="136">
        <v>-2</v>
      </c>
      <c r="M41" s="136"/>
      <c r="N41" s="136"/>
      <c r="O41" s="136"/>
      <c r="P41" s="136">
        <v>-1</v>
      </c>
      <c r="Q41" s="183"/>
      <c r="R41" s="183"/>
      <c r="S41" s="183"/>
      <c r="T41" s="183"/>
      <c r="U41" s="183"/>
      <c r="V41" s="183"/>
      <c r="W41" s="183"/>
      <c r="X41" s="131">
        <v>49</v>
      </c>
      <c r="Y41" s="131">
        <v>9</v>
      </c>
      <c r="Z41" s="130">
        <v>6</v>
      </c>
      <c r="AA41" s="130">
        <v>12</v>
      </c>
      <c r="AB41" s="130">
        <v>10</v>
      </c>
      <c r="AC41" s="130">
        <v>10</v>
      </c>
      <c r="AD41" s="130">
        <v>6</v>
      </c>
      <c r="AE41" s="130">
        <v>41</v>
      </c>
      <c r="AF41" s="130">
        <v>76</v>
      </c>
      <c r="AG41" s="130">
        <v>11</v>
      </c>
      <c r="AH41" s="185">
        <v>21</v>
      </c>
      <c r="AI41" s="185">
        <v>38</v>
      </c>
      <c r="AJ41" s="185">
        <v>12</v>
      </c>
      <c r="AK41" s="185">
        <v>3</v>
      </c>
      <c r="AL41" s="185">
        <v>75</v>
      </c>
      <c r="AM41" s="185">
        <v>1</v>
      </c>
      <c r="AN41" s="184">
        <v>9</v>
      </c>
      <c r="AO41" s="185"/>
      <c r="AP41" s="185">
        <v>1</v>
      </c>
      <c r="AQ41" s="185">
        <v>3</v>
      </c>
      <c r="AR41" s="184">
        <v>4</v>
      </c>
      <c r="AS41" s="184">
        <v>2</v>
      </c>
      <c r="AT41" s="185">
        <v>10</v>
      </c>
      <c r="AU41" s="185">
        <v>8</v>
      </c>
      <c r="AV41" s="184">
        <v>1</v>
      </c>
      <c r="AW41" s="173">
        <f>4-1</f>
        <v>3</v>
      </c>
      <c r="AX41" s="141">
        <v>1</v>
      </c>
      <c r="AY41" s="154">
        <f t="shared" si="12"/>
        <v>417</v>
      </c>
      <c r="AZ41" s="185">
        <v>23</v>
      </c>
      <c r="BA41" s="131">
        <v>7</v>
      </c>
      <c r="BB41" s="131"/>
      <c r="BC41" s="130">
        <v>6</v>
      </c>
      <c r="BD41" s="130">
        <v>-12</v>
      </c>
      <c r="BE41" s="130"/>
      <c r="BF41" s="130"/>
      <c r="BG41" s="130"/>
      <c r="BH41" s="130">
        <v>3</v>
      </c>
      <c r="BI41" s="130"/>
      <c r="BJ41" s="130"/>
      <c r="BK41" s="185"/>
      <c r="BL41" s="185"/>
      <c r="BM41" s="185"/>
      <c r="BN41" s="185"/>
      <c r="BO41" s="185">
        <v>1</v>
      </c>
      <c r="BP41" s="185">
        <v>1</v>
      </c>
      <c r="BQ41" s="185">
        <v>1</v>
      </c>
      <c r="BR41" s="185"/>
      <c r="BS41" s="185">
        <v>1</v>
      </c>
      <c r="BT41" s="185"/>
      <c r="BU41" s="185"/>
      <c r="BV41" s="185"/>
      <c r="BW41" s="185"/>
      <c r="BX41" s="185"/>
      <c r="BY41" s="184"/>
      <c r="BZ41" s="185"/>
      <c r="CA41" s="184">
        <v>0</v>
      </c>
      <c r="CB41" s="154">
        <f t="shared" si="13"/>
        <v>8</v>
      </c>
      <c r="CC41" s="185">
        <v>0</v>
      </c>
      <c r="CD41" s="130">
        <f t="shared" si="22"/>
        <v>425</v>
      </c>
      <c r="CE41" s="130">
        <f t="shared" si="23"/>
        <v>23</v>
      </c>
      <c r="CF41" s="133">
        <f t="shared" si="24"/>
        <v>440</v>
      </c>
      <c r="CG41" s="134">
        <f t="shared" si="21"/>
        <v>8</v>
      </c>
      <c r="CH41" s="14">
        <v>87</v>
      </c>
      <c r="CI41" s="2" t="s">
        <v>90</v>
      </c>
      <c r="CJ41" s="22"/>
      <c r="CK41" s="183"/>
      <c r="CL41" s="16">
        <v>30</v>
      </c>
      <c r="CM41" s="16"/>
      <c r="CN41" s="17"/>
      <c r="CO41" s="17"/>
      <c r="CP41" s="17"/>
      <c r="CQ41" s="17"/>
      <c r="CR41" s="136"/>
      <c r="CS41" s="136"/>
      <c r="CT41" s="136"/>
      <c r="CU41" s="136"/>
      <c r="CV41" s="136"/>
      <c r="CW41" s="136"/>
      <c r="CX41" s="183"/>
      <c r="CY41" s="183"/>
      <c r="CZ41" s="183">
        <v>-2</v>
      </c>
      <c r="DA41" s="183">
        <v>-4</v>
      </c>
      <c r="DB41" s="183"/>
      <c r="DC41" s="183"/>
      <c r="DD41" s="183"/>
      <c r="DE41" s="18">
        <v>30</v>
      </c>
      <c r="DF41" s="18">
        <v>1</v>
      </c>
      <c r="DG41" s="19"/>
      <c r="DH41" s="19"/>
      <c r="DI41" s="19"/>
      <c r="DJ41" s="19">
        <v>5</v>
      </c>
      <c r="DK41" s="130">
        <v>1</v>
      </c>
      <c r="DL41" s="130">
        <v>3</v>
      </c>
      <c r="DM41" s="130">
        <v>1</v>
      </c>
      <c r="DN41" s="130">
        <v>1</v>
      </c>
      <c r="DO41" s="185">
        <v>6</v>
      </c>
      <c r="DP41" s="185"/>
      <c r="DQ41" s="185"/>
      <c r="DR41" s="185">
        <v>1</v>
      </c>
      <c r="DS41" s="185">
        <v>3</v>
      </c>
      <c r="DT41" s="185">
        <v>3</v>
      </c>
      <c r="DU41" s="169">
        <f>2-1</f>
        <v>1</v>
      </c>
      <c r="DV41" s="185">
        <v>5</v>
      </c>
      <c r="DW41" s="185"/>
      <c r="DX41" s="185">
        <v>1</v>
      </c>
      <c r="DY41" s="185">
        <v>2</v>
      </c>
      <c r="DZ41" s="185"/>
      <c r="EA41" s="185">
        <v>3</v>
      </c>
      <c r="EB41" s="169">
        <f>2-1</f>
        <v>1</v>
      </c>
      <c r="EC41" s="185"/>
      <c r="ED41" s="185"/>
      <c r="EE41" s="185">
        <v>1</v>
      </c>
      <c r="EF41" s="132">
        <f t="shared" si="19"/>
        <v>63</v>
      </c>
      <c r="EG41" s="185">
        <v>1</v>
      </c>
      <c r="EH41" s="131"/>
      <c r="EI41" s="131"/>
      <c r="EJ41" s="130"/>
      <c r="EK41" s="130"/>
      <c r="EL41" s="130"/>
      <c r="EM41" s="130"/>
      <c r="EN41" s="130"/>
      <c r="EO41" s="130"/>
      <c r="EP41" s="130"/>
      <c r="EQ41" s="130"/>
      <c r="ER41" s="185"/>
      <c r="ES41" s="185">
        <v>2</v>
      </c>
      <c r="ET41" s="185"/>
      <c r="EU41" s="185"/>
      <c r="EV41" s="185"/>
      <c r="EW41" s="185">
        <v>2</v>
      </c>
      <c r="EX41" s="185"/>
      <c r="EY41" s="185"/>
      <c r="EZ41" s="185"/>
      <c r="FA41" s="185"/>
      <c r="FB41" s="185"/>
      <c r="FC41" s="185"/>
      <c r="FD41" s="185"/>
      <c r="FE41" s="185"/>
      <c r="FF41" s="185"/>
      <c r="FG41" s="185"/>
      <c r="FH41" s="185"/>
      <c r="FI41" s="132">
        <f t="shared" si="14"/>
        <v>4</v>
      </c>
      <c r="FJ41" s="185">
        <v>0</v>
      </c>
      <c r="FK41" s="130">
        <f t="shared" si="25"/>
        <v>67</v>
      </c>
      <c r="FL41" s="130">
        <f t="shared" si="26"/>
        <v>1</v>
      </c>
      <c r="FM41" s="133">
        <f t="shared" si="27"/>
        <v>64</v>
      </c>
      <c r="FN41" s="134">
        <f t="shared" si="20"/>
        <v>4</v>
      </c>
      <c r="FO41" s="67"/>
      <c r="FP41" s="67"/>
    </row>
    <row r="42" spans="1:172" x14ac:dyDescent="0.25">
      <c r="A42" s="14">
        <v>38</v>
      </c>
      <c r="B42" s="2" t="s">
        <v>41</v>
      </c>
      <c r="C42" s="15"/>
      <c r="D42" s="183">
        <v>-1</v>
      </c>
      <c r="E42" s="150">
        <v>146</v>
      </c>
      <c r="F42" s="150"/>
      <c r="G42" s="136">
        <v>-1</v>
      </c>
      <c r="H42" s="136"/>
      <c r="I42" s="136">
        <v>-2</v>
      </c>
      <c r="J42" s="136">
        <v>-1</v>
      </c>
      <c r="K42" s="136">
        <v>-10</v>
      </c>
      <c r="L42" s="136">
        <v>-2</v>
      </c>
      <c r="M42" s="136">
        <v>-1</v>
      </c>
      <c r="N42" s="136">
        <v>-1</v>
      </c>
      <c r="O42" s="136">
        <v>-1</v>
      </c>
      <c r="P42" s="136"/>
      <c r="Q42" s="183">
        <v>-3</v>
      </c>
      <c r="R42" s="183">
        <v>-1</v>
      </c>
      <c r="S42" s="183"/>
      <c r="T42" s="183"/>
      <c r="U42" s="183"/>
      <c r="V42" s="183"/>
      <c r="W42" s="183"/>
      <c r="X42" s="131">
        <v>147</v>
      </c>
      <c r="Y42" s="131">
        <v>11</v>
      </c>
      <c r="Z42" s="130">
        <v>15</v>
      </c>
      <c r="AA42" s="130">
        <v>8</v>
      </c>
      <c r="AB42" s="130">
        <v>28</v>
      </c>
      <c r="AC42" s="130">
        <v>14</v>
      </c>
      <c r="AD42" s="130">
        <v>73</v>
      </c>
      <c r="AE42" s="130">
        <v>16</v>
      </c>
      <c r="AF42" s="130">
        <v>10</v>
      </c>
      <c r="AG42" s="130">
        <v>13</v>
      </c>
      <c r="AH42" s="185">
        <v>12</v>
      </c>
      <c r="AI42" s="185">
        <v>6</v>
      </c>
      <c r="AJ42" s="185">
        <v>8</v>
      </c>
      <c r="AK42" s="185">
        <v>15</v>
      </c>
      <c r="AL42" s="185">
        <v>12</v>
      </c>
      <c r="AM42" s="169">
        <f>14-2</f>
        <v>12</v>
      </c>
      <c r="AN42" s="169">
        <f>13-1</f>
        <v>12</v>
      </c>
      <c r="AO42" s="185">
        <v>1</v>
      </c>
      <c r="AP42" s="185">
        <v>5</v>
      </c>
      <c r="AQ42" s="185">
        <v>18</v>
      </c>
      <c r="AR42" s="169">
        <f>38-1</f>
        <v>37</v>
      </c>
      <c r="AS42" s="169">
        <f>14-1+1</f>
        <v>14</v>
      </c>
      <c r="AT42" s="169">
        <f>10-2</f>
        <v>8</v>
      </c>
      <c r="AU42" s="130">
        <v>2</v>
      </c>
      <c r="AV42" s="173">
        <f>3-2</f>
        <v>1</v>
      </c>
      <c r="AW42" s="185">
        <v>4</v>
      </c>
      <c r="AX42" s="184">
        <v>7</v>
      </c>
      <c r="AY42" s="154">
        <f t="shared" si="12"/>
        <v>486</v>
      </c>
      <c r="AZ42" s="185">
        <v>28</v>
      </c>
      <c r="BA42" s="131">
        <v>5</v>
      </c>
      <c r="BB42" s="131"/>
      <c r="BC42" s="130"/>
      <c r="BD42" s="130">
        <v>-2</v>
      </c>
      <c r="BE42" s="130"/>
      <c r="BF42" s="130"/>
      <c r="BG42" s="130">
        <v>2</v>
      </c>
      <c r="BH42" s="130">
        <v>1</v>
      </c>
      <c r="BI42" s="130"/>
      <c r="BJ42" s="130">
        <v>1</v>
      </c>
      <c r="BK42" s="185"/>
      <c r="BL42" s="185"/>
      <c r="BM42" s="185">
        <v>2</v>
      </c>
      <c r="BN42" s="185"/>
      <c r="BO42" s="185">
        <v>2</v>
      </c>
      <c r="BP42" s="169">
        <f>0+2</f>
        <v>2</v>
      </c>
      <c r="BQ42" s="185"/>
      <c r="BR42" s="185">
        <v>1</v>
      </c>
      <c r="BS42" s="185"/>
      <c r="BT42" s="185">
        <v>4</v>
      </c>
      <c r="BU42" s="185"/>
      <c r="BV42" s="185"/>
      <c r="BW42" s="229">
        <f>0-1</f>
        <v>-1</v>
      </c>
      <c r="BX42" s="185">
        <v>1</v>
      </c>
      <c r="BY42" s="184"/>
      <c r="BZ42" s="185"/>
      <c r="CA42" s="184">
        <v>0</v>
      </c>
      <c r="CB42" s="154">
        <f t="shared" si="13"/>
        <v>18</v>
      </c>
      <c r="CC42" s="185">
        <v>0</v>
      </c>
      <c r="CD42" s="130">
        <f t="shared" si="22"/>
        <v>504</v>
      </c>
      <c r="CE42" s="130">
        <f t="shared" si="23"/>
        <v>28</v>
      </c>
      <c r="CF42" s="133">
        <f t="shared" si="24"/>
        <v>513</v>
      </c>
      <c r="CG42" s="134">
        <f t="shared" si="21"/>
        <v>18</v>
      </c>
      <c r="CH42" s="14">
        <v>88</v>
      </c>
      <c r="CI42" s="2" t="s">
        <v>91</v>
      </c>
      <c r="CJ42" s="22"/>
      <c r="CK42" s="183"/>
      <c r="CL42" s="16">
        <v>81</v>
      </c>
      <c r="CM42" s="16"/>
      <c r="CN42" s="17"/>
      <c r="CO42" s="17"/>
      <c r="CP42" s="17"/>
      <c r="CQ42" s="17">
        <v>-4</v>
      </c>
      <c r="CR42" s="136"/>
      <c r="CS42" s="136"/>
      <c r="CT42" s="136"/>
      <c r="CU42" s="136"/>
      <c r="CV42" s="136"/>
      <c r="CW42" s="136"/>
      <c r="CX42" s="183"/>
      <c r="CY42" s="183">
        <v>-1</v>
      </c>
      <c r="CZ42" s="183"/>
      <c r="DA42" s="183"/>
      <c r="DB42" s="183"/>
      <c r="DC42" s="183"/>
      <c r="DD42" s="183"/>
      <c r="DE42" s="18">
        <v>79</v>
      </c>
      <c r="DF42" s="18">
        <v>2</v>
      </c>
      <c r="DG42" s="19">
        <v>1</v>
      </c>
      <c r="DH42" s="19">
        <v>6</v>
      </c>
      <c r="DI42" s="19">
        <v>16</v>
      </c>
      <c r="DJ42" s="19">
        <v>42</v>
      </c>
      <c r="DK42" s="130">
        <v>1</v>
      </c>
      <c r="DL42" s="130">
        <v>3</v>
      </c>
      <c r="DM42" s="130">
        <v>1</v>
      </c>
      <c r="DN42" s="130">
        <v>3</v>
      </c>
      <c r="DO42" s="185">
        <v>2</v>
      </c>
      <c r="DP42" s="185"/>
      <c r="DQ42" s="185">
        <v>3</v>
      </c>
      <c r="DR42" s="185">
        <v>5</v>
      </c>
      <c r="DS42" s="185">
        <v>5</v>
      </c>
      <c r="DT42" s="185"/>
      <c r="DU42" s="185"/>
      <c r="DV42" s="185"/>
      <c r="DW42" s="185"/>
      <c r="DX42" s="185"/>
      <c r="DY42" s="185"/>
      <c r="DZ42" s="185"/>
      <c r="EA42" s="185">
        <v>1</v>
      </c>
      <c r="EB42" s="185">
        <v>2</v>
      </c>
      <c r="EC42" s="185">
        <v>1</v>
      </c>
      <c r="ED42" s="185">
        <v>1</v>
      </c>
      <c r="EE42" s="185">
        <v>0</v>
      </c>
      <c r="EF42" s="132">
        <f t="shared" si="19"/>
        <v>169</v>
      </c>
      <c r="EG42" s="185">
        <v>2</v>
      </c>
      <c r="EH42" s="131">
        <v>6</v>
      </c>
      <c r="EI42" s="131"/>
      <c r="EJ42" s="130"/>
      <c r="EK42" s="130">
        <v>-3</v>
      </c>
      <c r="EL42" s="130"/>
      <c r="EM42" s="130"/>
      <c r="EN42" s="130"/>
      <c r="EO42" s="130"/>
      <c r="EP42" s="130"/>
      <c r="EQ42" s="130"/>
      <c r="ER42" s="185"/>
      <c r="ES42" s="185"/>
      <c r="ET42" s="185"/>
      <c r="EU42" s="185"/>
      <c r="EV42" s="185"/>
      <c r="EW42" s="185"/>
      <c r="EX42" s="185"/>
      <c r="EY42" s="185"/>
      <c r="EZ42" s="185"/>
      <c r="FA42" s="185"/>
      <c r="FB42" s="185"/>
      <c r="FC42" s="185"/>
      <c r="FD42" s="185"/>
      <c r="FE42" s="185"/>
      <c r="FF42" s="185"/>
      <c r="FG42" s="185"/>
      <c r="FH42" s="185"/>
      <c r="FI42" s="132">
        <f t="shared" si="14"/>
        <v>3</v>
      </c>
      <c r="FJ42" s="185">
        <v>0</v>
      </c>
      <c r="FK42" s="130">
        <f t="shared" si="25"/>
        <v>172</v>
      </c>
      <c r="FL42" s="130">
        <f t="shared" si="26"/>
        <v>2</v>
      </c>
      <c r="FM42" s="133">
        <f t="shared" si="27"/>
        <v>171</v>
      </c>
      <c r="FN42" s="134">
        <f t="shared" si="20"/>
        <v>3</v>
      </c>
      <c r="FO42" s="67"/>
      <c r="FP42" s="67"/>
    </row>
    <row r="43" spans="1:172" x14ac:dyDescent="0.25">
      <c r="A43" s="14">
        <v>39</v>
      </c>
      <c r="B43" s="2" t="s">
        <v>42</v>
      </c>
      <c r="C43" s="15"/>
      <c r="D43" s="183"/>
      <c r="E43" s="150">
        <v>86</v>
      </c>
      <c r="F43" s="150"/>
      <c r="G43" s="136">
        <v>-2</v>
      </c>
      <c r="H43" s="136"/>
      <c r="I43" s="136">
        <v>-1</v>
      </c>
      <c r="J43" s="136"/>
      <c r="K43" s="136"/>
      <c r="L43" s="136"/>
      <c r="M43" s="136"/>
      <c r="N43" s="136"/>
      <c r="O43" s="136">
        <v>-6</v>
      </c>
      <c r="P43" s="136">
        <v>-1</v>
      </c>
      <c r="Q43" s="183">
        <v>-1</v>
      </c>
      <c r="R43" s="183"/>
      <c r="S43" s="183"/>
      <c r="T43" s="183">
        <v>-2</v>
      </c>
      <c r="U43" s="183"/>
      <c r="V43" s="183"/>
      <c r="W43" s="183"/>
      <c r="X43" s="131">
        <v>82</v>
      </c>
      <c r="Y43" s="131">
        <v>3</v>
      </c>
      <c r="Z43" s="130">
        <v>1</v>
      </c>
      <c r="AA43" s="130">
        <v>2</v>
      </c>
      <c r="AB43" s="130">
        <v>3</v>
      </c>
      <c r="AC43" s="130"/>
      <c r="AD43" s="130">
        <v>10</v>
      </c>
      <c r="AE43" s="130">
        <v>13</v>
      </c>
      <c r="AF43" s="130">
        <v>2</v>
      </c>
      <c r="AG43" s="130">
        <v>2</v>
      </c>
      <c r="AH43" s="185">
        <v>7</v>
      </c>
      <c r="AI43" s="185">
        <v>1</v>
      </c>
      <c r="AJ43" s="185">
        <v>3</v>
      </c>
      <c r="AK43" s="185">
        <v>5</v>
      </c>
      <c r="AL43" s="185">
        <v>2</v>
      </c>
      <c r="AM43" s="185">
        <v>8</v>
      </c>
      <c r="AN43" s="184">
        <v>1</v>
      </c>
      <c r="AO43" s="185"/>
      <c r="AP43" s="185">
        <v>1</v>
      </c>
      <c r="AQ43" s="185">
        <v>1</v>
      </c>
      <c r="AR43" s="169">
        <f>1-1</f>
        <v>0</v>
      </c>
      <c r="AS43" s="169">
        <f>2-1</f>
        <v>1</v>
      </c>
      <c r="AT43" s="185">
        <v>2</v>
      </c>
      <c r="AU43" s="169">
        <f>2-1</f>
        <v>1</v>
      </c>
      <c r="AV43" s="173">
        <f>2-2</f>
        <v>0</v>
      </c>
      <c r="AW43" s="185">
        <v>0</v>
      </c>
      <c r="AX43" s="184">
        <v>0</v>
      </c>
      <c r="AY43" s="154">
        <f t="shared" si="12"/>
        <v>138</v>
      </c>
      <c r="AZ43" s="185">
        <v>1</v>
      </c>
      <c r="BA43" s="131">
        <v>4</v>
      </c>
      <c r="BB43" s="131"/>
      <c r="BC43" s="130"/>
      <c r="BD43" s="130">
        <v>-1</v>
      </c>
      <c r="BE43" s="130"/>
      <c r="BF43" s="130"/>
      <c r="BG43" s="130">
        <v>5</v>
      </c>
      <c r="BH43" s="130">
        <v>2</v>
      </c>
      <c r="BI43" s="130">
        <v>1</v>
      </c>
      <c r="BJ43" s="130"/>
      <c r="BK43" s="185">
        <v>1</v>
      </c>
      <c r="BL43" s="185"/>
      <c r="BM43" s="185"/>
      <c r="BN43" s="185"/>
      <c r="BO43" s="185">
        <v>1</v>
      </c>
      <c r="BP43" s="185"/>
      <c r="BQ43" s="185"/>
      <c r="BR43" s="185"/>
      <c r="BS43" s="185"/>
      <c r="BT43" s="185"/>
      <c r="BU43" s="185"/>
      <c r="BV43" s="185"/>
      <c r="BW43" s="185"/>
      <c r="BX43" s="185"/>
      <c r="BY43" s="184"/>
      <c r="BZ43" s="185"/>
      <c r="CA43" s="184">
        <v>0</v>
      </c>
      <c r="CB43" s="154">
        <f t="shared" si="13"/>
        <v>13</v>
      </c>
      <c r="CC43" s="185">
        <v>0</v>
      </c>
      <c r="CD43" s="130">
        <f t="shared" si="22"/>
        <v>151</v>
      </c>
      <c r="CE43" s="130">
        <f t="shared" si="23"/>
        <v>1</v>
      </c>
      <c r="CF43" s="133">
        <f t="shared" si="24"/>
        <v>139</v>
      </c>
      <c r="CG43" s="134">
        <f t="shared" si="21"/>
        <v>13</v>
      </c>
      <c r="CH43" s="14">
        <v>89</v>
      </c>
      <c r="CI43" s="2" t="s">
        <v>92</v>
      </c>
      <c r="CJ43" s="22"/>
      <c r="CK43" s="183">
        <v>-2</v>
      </c>
      <c r="CL43" s="16">
        <v>130</v>
      </c>
      <c r="CM43" s="16">
        <v>-1</v>
      </c>
      <c r="CN43" s="17"/>
      <c r="CO43" s="17">
        <v>-2</v>
      </c>
      <c r="CP43" s="17"/>
      <c r="CQ43" s="17">
        <v>-1</v>
      </c>
      <c r="CR43" s="136">
        <v>-1</v>
      </c>
      <c r="CS43" s="136"/>
      <c r="CT43" s="136">
        <v>-1</v>
      </c>
      <c r="CU43" s="136">
        <v>-1</v>
      </c>
      <c r="CV43" s="136"/>
      <c r="CW43" s="136"/>
      <c r="CX43" s="183">
        <v>-3</v>
      </c>
      <c r="CY43" s="183"/>
      <c r="CZ43" s="183">
        <v>-2</v>
      </c>
      <c r="DA43" s="183"/>
      <c r="DB43" s="183">
        <v>-1</v>
      </c>
      <c r="DC43" s="183"/>
      <c r="DD43" s="183"/>
      <c r="DE43" s="18">
        <v>136</v>
      </c>
      <c r="DF43" s="18"/>
      <c r="DG43" s="19">
        <v>8</v>
      </c>
      <c r="DH43" s="19">
        <v>39</v>
      </c>
      <c r="DI43" s="19">
        <v>30</v>
      </c>
      <c r="DJ43" s="19">
        <v>49</v>
      </c>
      <c r="DK43" s="130">
        <v>15</v>
      </c>
      <c r="DL43" s="130">
        <v>4</v>
      </c>
      <c r="DM43" s="130">
        <v>23</v>
      </c>
      <c r="DN43" s="130">
        <v>11</v>
      </c>
      <c r="DO43" s="185">
        <v>9</v>
      </c>
      <c r="DP43" s="185">
        <v>7</v>
      </c>
      <c r="DQ43" s="185">
        <v>40</v>
      </c>
      <c r="DR43" s="185">
        <v>16</v>
      </c>
      <c r="DS43" s="169">
        <f>15+1</f>
        <v>16</v>
      </c>
      <c r="DT43" s="185"/>
      <c r="DU43" s="169">
        <f>3-1</f>
        <v>2</v>
      </c>
      <c r="DV43" s="185">
        <v>8</v>
      </c>
      <c r="DW43" s="185">
        <v>2</v>
      </c>
      <c r="DX43" s="185">
        <v>2</v>
      </c>
      <c r="DY43" s="169">
        <f>6-2</f>
        <v>4</v>
      </c>
      <c r="DZ43" s="185">
        <v>1</v>
      </c>
      <c r="EA43" s="185"/>
      <c r="EB43" s="185"/>
      <c r="EC43" s="185">
        <v>3</v>
      </c>
      <c r="ED43" s="169">
        <f>11-3</f>
        <v>8</v>
      </c>
      <c r="EE43" s="130">
        <v>1</v>
      </c>
      <c r="EF43" s="132">
        <f t="shared" si="19"/>
        <v>421</v>
      </c>
      <c r="EG43" s="185">
        <v>17</v>
      </c>
      <c r="EH43" s="131"/>
      <c r="EI43" s="131"/>
      <c r="EJ43" s="130">
        <v>6</v>
      </c>
      <c r="EK43" s="130">
        <v>1</v>
      </c>
      <c r="EL43" s="130"/>
      <c r="EM43" s="130">
        <v>2</v>
      </c>
      <c r="EN43" s="130">
        <v>4</v>
      </c>
      <c r="EO43" s="130"/>
      <c r="EP43" s="130">
        <v>3</v>
      </c>
      <c r="EQ43" s="130">
        <v>6</v>
      </c>
      <c r="ER43" s="185">
        <v>1</v>
      </c>
      <c r="ES43" s="185">
        <v>3</v>
      </c>
      <c r="ET43" s="185">
        <v>2</v>
      </c>
      <c r="EU43" s="185">
        <v>1</v>
      </c>
      <c r="EV43" s="169">
        <f>1-1</f>
        <v>0</v>
      </c>
      <c r="EW43" s="185"/>
      <c r="EX43" s="185"/>
      <c r="EY43" s="185"/>
      <c r="EZ43" s="185"/>
      <c r="FA43" s="185"/>
      <c r="FB43" s="185"/>
      <c r="FC43" s="185"/>
      <c r="FD43" s="185"/>
      <c r="FE43" s="185"/>
      <c r="FF43" s="185"/>
      <c r="FG43" s="185">
        <v>1</v>
      </c>
      <c r="FH43" s="185"/>
      <c r="FI43" s="132">
        <f t="shared" si="14"/>
        <v>30</v>
      </c>
      <c r="FJ43" s="185">
        <v>0</v>
      </c>
      <c r="FK43" s="130">
        <f t="shared" si="25"/>
        <v>451</v>
      </c>
      <c r="FL43" s="130">
        <f t="shared" si="26"/>
        <v>17</v>
      </c>
      <c r="FM43" s="133">
        <f t="shared" si="27"/>
        <v>436</v>
      </c>
      <c r="FN43" s="134">
        <f t="shared" si="20"/>
        <v>30</v>
      </c>
      <c r="FO43" s="67"/>
      <c r="FP43" s="67"/>
    </row>
    <row r="44" spans="1:172" x14ac:dyDescent="0.25">
      <c r="A44" s="14">
        <v>40</v>
      </c>
      <c r="B44" s="2" t="s">
        <v>43</v>
      </c>
      <c r="C44" s="15"/>
      <c r="D44" s="136"/>
      <c r="E44" s="150">
        <v>14</v>
      </c>
      <c r="F44" s="150"/>
      <c r="G44" s="136"/>
      <c r="H44" s="136"/>
      <c r="I44" s="136"/>
      <c r="J44" s="136"/>
      <c r="K44" s="136"/>
      <c r="L44" s="136"/>
      <c r="M44" s="136"/>
      <c r="N44" s="136">
        <v>-1</v>
      </c>
      <c r="O44" s="136"/>
      <c r="P44" s="136"/>
      <c r="Q44" s="136"/>
      <c r="R44" s="136"/>
      <c r="S44" s="136"/>
      <c r="T44" s="136"/>
      <c r="U44" s="136"/>
      <c r="V44" s="136"/>
      <c r="W44" s="136"/>
      <c r="X44" s="131">
        <v>15</v>
      </c>
      <c r="Y44" s="131"/>
      <c r="Z44" s="130"/>
      <c r="AA44" s="130"/>
      <c r="AB44" s="130">
        <v>3</v>
      </c>
      <c r="AC44" s="130"/>
      <c r="AD44" s="130">
        <v>3</v>
      </c>
      <c r="AE44" s="130">
        <v>3</v>
      </c>
      <c r="AF44" s="130">
        <v>1</v>
      </c>
      <c r="AG44" s="130">
        <v>1</v>
      </c>
      <c r="AH44" s="185">
        <v>1</v>
      </c>
      <c r="AI44" s="185">
        <v>1</v>
      </c>
      <c r="AJ44" s="185">
        <v>1</v>
      </c>
      <c r="AK44" s="185">
        <v>2</v>
      </c>
      <c r="AL44" s="185">
        <v>1</v>
      </c>
      <c r="AM44" s="185">
        <v>3</v>
      </c>
      <c r="AN44" s="184">
        <v>3</v>
      </c>
      <c r="AO44" s="185">
        <v>2</v>
      </c>
      <c r="AP44" s="185">
        <v>1</v>
      </c>
      <c r="AQ44" s="185">
        <v>1</v>
      </c>
      <c r="AR44" s="184">
        <v>10</v>
      </c>
      <c r="AS44" s="184">
        <v>1</v>
      </c>
      <c r="AT44" s="185">
        <v>1</v>
      </c>
      <c r="AU44" s="185">
        <v>2</v>
      </c>
      <c r="AV44" s="173">
        <f>9-1</f>
        <v>8</v>
      </c>
      <c r="AW44" s="185">
        <v>5</v>
      </c>
      <c r="AX44" s="184">
        <v>1</v>
      </c>
      <c r="AY44" s="154">
        <f t="shared" si="12"/>
        <v>69</v>
      </c>
      <c r="AZ44" s="185">
        <v>2</v>
      </c>
      <c r="BA44" s="131"/>
      <c r="BB44" s="131"/>
      <c r="BC44" s="130"/>
      <c r="BD44" s="130"/>
      <c r="BE44" s="130"/>
      <c r="BF44" s="130"/>
      <c r="BG44" s="130"/>
      <c r="BH44" s="130"/>
      <c r="BI44" s="130"/>
      <c r="BJ44" s="130"/>
      <c r="BK44" s="185"/>
      <c r="BL44" s="185">
        <v>1</v>
      </c>
      <c r="BM44" s="185"/>
      <c r="BN44" s="185"/>
      <c r="BO44" s="185"/>
      <c r="BP44" s="185"/>
      <c r="BQ44" s="185"/>
      <c r="BR44" s="185"/>
      <c r="BS44" s="185"/>
      <c r="BT44" s="185"/>
      <c r="BU44" s="185"/>
      <c r="BV44" s="185"/>
      <c r="BW44" s="185"/>
      <c r="BX44" s="185"/>
      <c r="BY44" s="184"/>
      <c r="BZ44" s="185"/>
      <c r="CA44" s="184">
        <v>0</v>
      </c>
      <c r="CB44" s="154">
        <f t="shared" si="13"/>
        <v>1</v>
      </c>
      <c r="CC44" s="185">
        <v>0</v>
      </c>
      <c r="CD44" s="130">
        <f t="shared" si="22"/>
        <v>70</v>
      </c>
      <c r="CE44" s="130">
        <f t="shared" si="23"/>
        <v>2</v>
      </c>
      <c r="CF44" s="133">
        <f t="shared" si="24"/>
        <v>71</v>
      </c>
      <c r="CG44" s="134">
        <f t="shared" si="21"/>
        <v>1</v>
      </c>
      <c r="CH44" s="14">
        <v>90</v>
      </c>
      <c r="CI44" s="2" t="s">
        <v>93</v>
      </c>
      <c r="CJ44" s="22"/>
      <c r="CK44" s="183"/>
      <c r="CL44" s="16">
        <v>7</v>
      </c>
      <c r="CM44" s="16"/>
      <c r="CN44" s="17"/>
      <c r="CO44" s="17"/>
      <c r="CP44" s="17"/>
      <c r="CQ44" s="17"/>
      <c r="CR44" s="136"/>
      <c r="CS44" s="136"/>
      <c r="CT44" s="136"/>
      <c r="CU44" s="136"/>
      <c r="CV44" s="136"/>
      <c r="CW44" s="136"/>
      <c r="CX44" s="183"/>
      <c r="CY44" s="183"/>
      <c r="CZ44" s="183">
        <v>-1</v>
      </c>
      <c r="DA44" s="183"/>
      <c r="DB44" s="183"/>
      <c r="DC44" s="183"/>
      <c r="DD44" s="183"/>
      <c r="DE44" s="18">
        <v>7</v>
      </c>
      <c r="DF44" s="18"/>
      <c r="DG44" s="19"/>
      <c r="DH44" s="19">
        <v>1</v>
      </c>
      <c r="DI44" s="19">
        <v>1</v>
      </c>
      <c r="DJ44" s="19"/>
      <c r="DK44" s="130"/>
      <c r="DL44" s="130"/>
      <c r="DM44" s="130"/>
      <c r="DN44" s="130">
        <v>1</v>
      </c>
      <c r="DO44" s="185">
        <v>1</v>
      </c>
      <c r="DP44" s="185"/>
      <c r="DQ44" s="185"/>
      <c r="DR44" s="185"/>
      <c r="DS44" s="185">
        <v>4</v>
      </c>
      <c r="DT44" s="185"/>
      <c r="DU44" s="185"/>
      <c r="DV44" s="185"/>
      <c r="DW44" s="185">
        <v>1</v>
      </c>
      <c r="DX44" s="185"/>
      <c r="DY44" s="185"/>
      <c r="DZ44" s="185"/>
      <c r="EA44" s="185"/>
      <c r="EB44" s="185"/>
      <c r="EC44" s="185"/>
      <c r="ED44" s="185">
        <v>1</v>
      </c>
      <c r="EE44" s="169">
        <f>1-2</f>
        <v>-1</v>
      </c>
      <c r="EF44" s="132">
        <f t="shared" si="19"/>
        <v>15</v>
      </c>
      <c r="EG44" s="185">
        <v>0</v>
      </c>
      <c r="EH44" s="131"/>
      <c r="EI44" s="131"/>
      <c r="EJ44" s="130"/>
      <c r="EK44" s="130"/>
      <c r="EL44" s="130"/>
      <c r="EM44" s="130"/>
      <c r="EN44" s="130"/>
      <c r="EO44" s="130"/>
      <c r="EP44" s="130"/>
      <c r="EQ44" s="130"/>
      <c r="ER44" s="185"/>
      <c r="ES44" s="185"/>
      <c r="ET44" s="185"/>
      <c r="EU44" s="185"/>
      <c r="EV44" s="185"/>
      <c r="EW44" s="185"/>
      <c r="EX44" s="185"/>
      <c r="EY44" s="185"/>
      <c r="EZ44" s="185"/>
      <c r="FA44" s="185"/>
      <c r="FB44" s="185"/>
      <c r="FC44" s="185"/>
      <c r="FD44" s="185"/>
      <c r="FE44" s="185"/>
      <c r="FF44" s="185"/>
      <c r="FG44" s="185"/>
      <c r="FH44" s="185"/>
      <c r="FI44" s="132">
        <f t="shared" si="14"/>
        <v>0</v>
      </c>
      <c r="FJ44" s="185">
        <v>0</v>
      </c>
      <c r="FK44" s="130">
        <f t="shared" si="25"/>
        <v>15</v>
      </c>
      <c r="FL44" s="130">
        <f t="shared" si="26"/>
        <v>0</v>
      </c>
      <c r="FM44" s="133">
        <f t="shared" si="27"/>
        <v>15</v>
      </c>
      <c r="FN44" s="134">
        <f t="shared" si="20"/>
        <v>0</v>
      </c>
      <c r="FO44" s="67"/>
      <c r="FP44" s="67"/>
    </row>
    <row r="45" spans="1:172" x14ac:dyDescent="0.25">
      <c r="A45" s="14">
        <v>41</v>
      </c>
      <c r="B45" s="2" t="s">
        <v>44</v>
      </c>
      <c r="C45" s="15"/>
      <c r="D45" s="183"/>
      <c r="E45" s="150">
        <v>67</v>
      </c>
      <c r="F45" s="150"/>
      <c r="G45" s="136"/>
      <c r="H45" s="136"/>
      <c r="I45" s="136"/>
      <c r="J45" s="136"/>
      <c r="K45" s="136"/>
      <c r="L45" s="136"/>
      <c r="M45" s="136"/>
      <c r="N45" s="136">
        <v>-2</v>
      </c>
      <c r="O45" s="136">
        <v>-1</v>
      </c>
      <c r="P45" s="136"/>
      <c r="Q45" s="183">
        <v>-4</v>
      </c>
      <c r="R45" s="183"/>
      <c r="S45" s="183"/>
      <c r="T45" s="183">
        <v>-1</v>
      </c>
      <c r="U45" s="183"/>
      <c r="V45" s="183"/>
      <c r="W45" s="183"/>
      <c r="X45" s="131">
        <v>65</v>
      </c>
      <c r="Y45" s="131">
        <v>17</v>
      </c>
      <c r="Z45" s="130">
        <v>20</v>
      </c>
      <c r="AA45" s="130">
        <v>7</v>
      </c>
      <c r="AB45" s="130">
        <v>6</v>
      </c>
      <c r="AC45" s="130">
        <v>6</v>
      </c>
      <c r="AD45" s="130">
        <v>6</v>
      </c>
      <c r="AE45" s="130">
        <v>2</v>
      </c>
      <c r="AF45" s="130">
        <v>2</v>
      </c>
      <c r="AG45" s="130">
        <v>3</v>
      </c>
      <c r="AH45" s="185">
        <v>13</v>
      </c>
      <c r="AI45" s="185">
        <v>8</v>
      </c>
      <c r="AJ45" s="185">
        <v>8</v>
      </c>
      <c r="AK45" s="185"/>
      <c r="AL45" s="185">
        <v>8</v>
      </c>
      <c r="AM45" s="185">
        <v>1</v>
      </c>
      <c r="AN45" s="184">
        <v>6</v>
      </c>
      <c r="AO45" s="185">
        <v>1</v>
      </c>
      <c r="AP45" s="185">
        <v>2</v>
      </c>
      <c r="AQ45" s="185">
        <v>3</v>
      </c>
      <c r="AR45" s="184">
        <v>2</v>
      </c>
      <c r="AS45" s="184">
        <f>3-1</f>
        <v>2</v>
      </c>
      <c r="AT45" s="169">
        <f>3-2</f>
        <v>1</v>
      </c>
      <c r="AU45" s="130">
        <v>2</v>
      </c>
      <c r="AV45" s="184">
        <v>0</v>
      </c>
      <c r="AW45" s="185">
        <v>2</v>
      </c>
      <c r="AX45" s="184">
        <v>9</v>
      </c>
      <c r="AY45" s="154">
        <f t="shared" si="12"/>
        <v>194</v>
      </c>
      <c r="AZ45" s="185">
        <v>2</v>
      </c>
      <c r="BA45" s="131">
        <v>5</v>
      </c>
      <c r="BB45" s="131"/>
      <c r="BC45" s="130"/>
      <c r="BD45" s="130">
        <v>-1</v>
      </c>
      <c r="BE45" s="130"/>
      <c r="BF45" s="130"/>
      <c r="BG45" s="130">
        <v>1</v>
      </c>
      <c r="BH45" s="130">
        <v>1</v>
      </c>
      <c r="BI45" s="130"/>
      <c r="BJ45" s="130"/>
      <c r="BK45" s="185">
        <v>1</v>
      </c>
      <c r="BL45" s="185"/>
      <c r="BM45" s="185">
        <v>1</v>
      </c>
      <c r="BN45" s="185"/>
      <c r="BO45" s="185">
        <v>1</v>
      </c>
      <c r="BP45" s="185"/>
      <c r="BQ45" s="185"/>
      <c r="BR45" s="185"/>
      <c r="BS45" s="185"/>
      <c r="BT45" s="185"/>
      <c r="BU45" s="185"/>
      <c r="BV45" s="185"/>
      <c r="BW45" s="229">
        <f>0-1</f>
        <v>-1</v>
      </c>
      <c r="BX45" s="185"/>
      <c r="BY45" s="184"/>
      <c r="BZ45" s="185"/>
      <c r="CA45" s="184">
        <v>0</v>
      </c>
      <c r="CB45" s="154">
        <f t="shared" si="13"/>
        <v>8</v>
      </c>
      <c r="CC45" s="185">
        <v>0</v>
      </c>
      <c r="CD45" s="130">
        <f t="shared" si="22"/>
        <v>202</v>
      </c>
      <c r="CE45" s="130">
        <f t="shared" si="23"/>
        <v>2</v>
      </c>
      <c r="CF45" s="133">
        <f t="shared" si="24"/>
        <v>196</v>
      </c>
      <c r="CG45" s="134">
        <f t="shared" si="21"/>
        <v>8</v>
      </c>
      <c r="CH45" s="14">
        <v>91</v>
      </c>
      <c r="CI45" s="2" t="s">
        <v>94</v>
      </c>
      <c r="CJ45" s="22"/>
      <c r="CK45" s="183"/>
      <c r="CL45" s="16">
        <v>55</v>
      </c>
      <c r="CM45" s="16"/>
      <c r="CN45" s="17">
        <v>-1</v>
      </c>
      <c r="CO45" s="17">
        <v>-2</v>
      </c>
      <c r="CP45" s="17"/>
      <c r="CQ45" s="17">
        <v>-2</v>
      </c>
      <c r="CR45" s="136">
        <v>-1</v>
      </c>
      <c r="CS45" s="136">
        <v>-1</v>
      </c>
      <c r="CT45" s="136"/>
      <c r="CU45" s="136"/>
      <c r="CV45" s="136">
        <v>-1</v>
      </c>
      <c r="CW45" s="136">
        <v>-2</v>
      </c>
      <c r="CX45" s="183"/>
      <c r="CY45" s="183"/>
      <c r="CZ45" s="183"/>
      <c r="DA45" s="183"/>
      <c r="DB45" s="183"/>
      <c r="DC45" s="183"/>
      <c r="DD45" s="183"/>
      <c r="DE45" s="18">
        <v>65</v>
      </c>
      <c r="DF45" s="18">
        <v>4</v>
      </c>
      <c r="DG45" s="19">
        <v>5</v>
      </c>
      <c r="DH45" s="19">
        <v>14</v>
      </c>
      <c r="DI45" s="19">
        <v>8</v>
      </c>
      <c r="DJ45" s="19">
        <v>22</v>
      </c>
      <c r="DK45" s="130">
        <f>6-1</f>
        <v>5</v>
      </c>
      <c r="DL45" s="130">
        <v>16</v>
      </c>
      <c r="DM45" s="130">
        <v>12</v>
      </c>
      <c r="DN45" s="169">
        <f>10-1</f>
        <v>9</v>
      </c>
      <c r="DO45" s="185">
        <v>8</v>
      </c>
      <c r="DP45" s="185">
        <v>15</v>
      </c>
      <c r="DQ45" s="185">
        <v>8</v>
      </c>
      <c r="DR45" s="185">
        <v>5</v>
      </c>
      <c r="DS45" s="185">
        <v>4</v>
      </c>
      <c r="DT45" s="185">
        <v>2</v>
      </c>
      <c r="DU45" s="185">
        <v>1</v>
      </c>
      <c r="DV45" s="185">
        <v>1</v>
      </c>
      <c r="DW45" s="185">
        <v>1</v>
      </c>
      <c r="DX45" s="185">
        <v>1</v>
      </c>
      <c r="DY45" s="169">
        <f>8-3</f>
        <v>5</v>
      </c>
      <c r="DZ45" s="185">
        <v>2</v>
      </c>
      <c r="EA45" s="169">
        <f>6-4</f>
        <v>2</v>
      </c>
      <c r="EB45" s="169">
        <f>18-9</f>
        <v>9</v>
      </c>
      <c r="EC45" s="169">
        <v>1</v>
      </c>
      <c r="ED45" s="185">
        <v>4</v>
      </c>
      <c r="EE45" s="185">
        <v>0</v>
      </c>
      <c r="EF45" s="132">
        <f t="shared" si="19"/>
        <v>219</v>
      </c>
      <c r="EG45" s="185">
        <v>0</v>
      </c>
      <c r="EH45" s="131">
        <v>2</v>
      </c>
      <c r="EI45" s="131">
        <v>2</v>
      </c>
      <c r="EJ45" s="130">
        <v>1</v>
      </c>
      <c r="EK45" s="130">
        <v>-1</v>
      </c>
      <c r="EL45" s="130"/>
      <c r="EM45" s="130"/>
      <c r="EN45" s="130">
        <v>1</v>
      </c>
      <c r="EO45" s="130"/>
      <c r="EP45" s="130"/>
      <c r="EQ45" s="169">
        <v>1</v>
      </c>
      <c r="ER45" s="185"/>
      <c r="ES45" s="185">
        <v>3</v>
      </c>
      <c r="ET45" s="185">
        <v>2</v>
      </c>
      <c r="EU45" s="185">
        <v>1</v>
      </c>
      <c r="EV45" s="185"/>
      <c r="EW45" s="185">
        <v>1</v>
      </c>
      <c r="EX45" s="185"/>
      <c r="EY45" s="185"/>
      <c r="EZ45" s="185"/>
      <c r="FA45" s="185"/>
      <c r="FB45" s="185"/>
      <c r="FC45" s="185"/>
      <c r="FD45" s="185"/>
      <c r="FE45" s="185"/>
      <c r="FF45" s="185"/>
      <c r="FG45" s="185"/>
      <c r="FH45" s="185"/>
      <c r="FI45" s="132">
        <f t="shared" si="14"/>
        <v>13</v>
      </c>
      <c r="FJ45" s="185">
        <v>0</v>
      </c>
      <c r="FK45" s="130">
        <f t="shared" si="25"/>
        <v>232</v>
      </c>
      <c r="FL45" s="130">
        <f t="shared" si="26"/>
        <v>0</v>
      </c>
      <c r="FM45" s="133">
        <f t="shared" si="27"/>
        <v>219</v>
      </c>
      <c r="FN45" s="134">
        <f t="shared" si="20"/>
        <v>13</v>
      </c>
      <c r="FO45" s="67"/>
      <c r="FP45" s="67"/>
    </row>
    <row r="46" spans="1:172" x14ac:dyDescent="0.25">
      <c r="A46" s="14">
        <v>42</v>
      </c>
      <c r="B46" s="2" t="s">
        <v>45</v>
      </c>
      <c r="C46" s="15"/>
      <c r="D46" s="183"/>
      <c r="E46" s="150">
        <v>64</v>
      </c>
      <c r="F46" s="150"/>
      <c r="G46" s="136"/>
      <c r="H46" s="136">
        <v>-1</v>
      </c>
      <c r="I46" s="136"/>
      <c r="J46" s="136"/>
      <c r="K46" s="136">
        <v>-2</v>
      </c>
      <c r="L46" s="136"/>
      <c r="M46" s="136"/>
      <c r="N46" s="136"/>
      <c r="O46" s="136">
        <v>-1</v>
      </c>
      <c r="P46" s="136"/>
      <c r="Q46" s="183"/>
      <c r="R46" s="183">
        <v>-13</v>
      </c>
      <c r="S46" s="183"/>
      <c r="T46" s="183"/>
      <c r="U46" s="183"/>
      <c r="V46" s="183">
        <v>-3</v>
      </c>
      <c r="W46" s="183"/>
      <c r="X46" s="131">
        <v>63</v>
      </c>
      <c r="Y46" s="131">
        <v>1</v>
      </c>
      <c r="Z46" s="130">
        <v>6</v>
      </c>
      <c r="AA46" s="130">
        <v>8</v>
      </c>
      <c r="AB46" s="130">
        <v>7</v>
      </c>
      <c r="AC46" s="130">
        <v>1</v>
      </c>
      <c r="AD46" s="130">
        <v>6</v>
      </c>
      <c r="AE46" s="130">
        <v>2</v>
      </c>
      <c r="AF46" s="130">
        <v>7</v>
      </c>
      <c r="AG46" s="130"/>
      <c r="AH46" s="185">
        <v>2</v>
      </c>
      <c r="AI46" s="185">
        <v>1</v>
      </c>
      <c r="AJ46" s="185">
        <v>2</v>
      </c>
      <c r="AK46" s="185">
        <v>26</v>
      </c>
      <c r="AL46" s="185">
        <v>2</v>
      </c>
      <c r="AM46" s="185">
        <v>3</v>
      </c>
      <c r="AN46" s="184">
        <v>3</v>
      </c>
      <c r="AO46" s="185">
        <v>1</v>
      </c>
      <c r="AP46" s="185">
        <v>9</v>
      </c>
      <c r="AQ46" s="185">
        <v>1</v>
      </c>
      <c r="AR46" s="184">
        <v>2</v>
      </c>
      <c r="AS46" s="169">
        <f>15-2</f>
        <v>13</v>
      </c>
      <c r="AT46" s="185">
        <v>1</v>
      </c>
      <c r="AU46" s="185">
        <v>1</v>
      </c>
      <c r="AV46" s="184">
        <v>1</v>
      </c>
      <c r="AW46" s="185">
        <v>0</v>
      </c>
      <c r="AX46" s="184">
        <v>0</v>
      </c>
      <c r="AY46" s="154">
        <f t="shared" si="12"/>
        <v>149</v>
      </c>
      <c r="AZ46" s="185">
        <v>1</v>
      </c>
      <c r="BA46" s="131">
        <v>4</v>
      </c>
      <c r="BB46" s="131"/>
      <c r="BC46" s="130">
        <v>17</v>
      </c>
      <c r="BD46" s="130"/>
      <c r="BE46" s="130"/>
      <c r="BF46" s="130"/>
      <c r="BG46" s="130">
        <v>2</v>
      </c>
      <c r="BH46" s="130"/>
      <c r="BI46" s="130"/>
      <c r="BJ46" s="130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>
        <v>1</v>
      </c>
      <c r="BV46" s="185"/>
      <c r="BW46" s="185"/>
      <c r="BX46" s="185"/>
      <c r="BY46" s="184"/>
      <c r="BZ46" s="185"/>
      <c r="CA46" s="184">
        <v>0</v>
      </c>
      <c r="CB46" s="154">
        <f t="shared" si="13"/>
        <v>24</v>
      </c>
      <c r="CC46" s="185">
        <v>0</v>
      </c>
      <c r="CD46" s="130">
        <f t="shared" si="22"/>
        <v>173</v>
      </c>
      <c r="CE46" s="130">
        <f t="shared" si="23"/>
        <v>1</v>
      </c>
      <c r="CF46" s="133">
        <f t="shared" si="24"/>
        <v>150</v>
      </c>
      <c r="CG46" s="134">
        <f t="shared" si="21"/>
        <v>24</v>
      </c>
      <c r="CH46" s="14">
        <v>92</v>
      </c>
      <c r="CI46" s="2" t="s">
        <v>95</v>
      </c>
      <c r="CJ46" s="22"/>
      <c r="CK46" s="183"/>
      <c r="CL46" s="16">
        <v>25</v>
      </c>
      <c r="CM46" s="16"/>
      <c r="CN46" s="17"/>
      <c r="CO46" s="17">
        <v>-2</v>
      </c>
      <c r="CP46" s="17"/>
      <c r="CQ46" s="17">
        <v>-2</v>
      </c>
      <c r="CR46" s="136"/>
      <c r="CS46" s="136">
        <v>-1</v>
      </c>
      <c r="CT46" s="136">
        <v>-1</v>
      </c>
      <c r="CU46" s="136"/>
      <c r="CV46" s="136"/>
      <c r="CW46" s="136"/>
      <c r="CX46" s="183"/>
      <c r="CY46" s="183"/>
      <c r="CZ46" s="183"/>
      <c r="DA46" s="183"/>
      <c r="DB46" s="183"/>
      <c r="DC46" s="183"/>
      <c r="DD46" s="183"/>
      <c r="DE46" s="18">
        <v>25</v>
      </c>
      <c r="DF46" s="18"/>
      <c r="DG46" s="19">
        <v>9</v>
      </c>
      <c r="DH46" s="19">
        <v>3</v>
      </c>
      <c r="DI46" s="19">
        <f>4+1</f>
        <v>5</v>
      </c>
      <c r="DJ46" s="19">
        <v>4</v>
      </c>
      <c r="DK46" s="130">
        <v>5</v>
      </c>
      <c r="DL46" s="130">
        <v>8</v>
      </c>
      <c r="DM46" s="130">
        <v>9</v>
      </c>
      <c r="DN46" s="130">
        <v>4</v>
      </c>
      <c r="DO46" s="185">
        <v>11</v>
      </c>
      <c r="DP46" s="185">
        <v>17</v>
      </c>
      <c r="DQ46" s="185">
        <v>9</v>
      </c>
      <c r="DR46" s="185">
        <v>3</v>
      </c>
      <c r="DS46" s="185">
        <v>7</v>
      </c>
      <c r="DT46" s="185">
        <v>1</v>
      </c>
      <c r="DU46" s="185">
        <v>3</v>
      </c>
      <c r="DV46" s="185">
        <v>1</v>
      </c>
      <c r="DW46" s="185">
        <v>1</v>
      </c>
      <c r="DX46" s="185">
        <v>3</v>
      </c>
      <c r="DY46" s="227">
        <f>0-1</f>
        <v>-1</v>
      </c>
      <c r="DZ46" s="185">
        <v>2</v>
      </c>
      <c r="EA46" s="185">
        <v>1</v>
      </c>
      <c r="EB46" s="169">
        <f>2-1</f>
        <v>1</v>
      </c>
      <c r="EC46" s="185">
        <v>1</v>
      </c>
      <c r="ED46" s="185"/>
      <c r="EE46" s="185">
        <v>1</v>
      </c>
      <c r="EF46" s="132">
        <f t="shared" si="19"/>
        <v>127</v>
      </c>
      <c r="EG46" s="185">
        <v>2</v>
      </c>
      <c r="EH46" s="131">
        <v>3</v>
      </c>
      <c r="EI46" s="131"/>
      <c r="EJ46" s="130"/>
      <c r="EK46" s="130"/>
      <c r="EL46" s="130">
        <f>1-1</f>
        <v>0</v>
      </c>
      <c r="EM46" s="130">
        <v>1</v>
      </c>
      <c r="EN46" s="130">
        <v>-1</v>
      </c>
      <c r="EO46" s="130">
        <v>1</v>
      </c>
      <c r="EP46" s="130"/>
      <c r="EQ46" s="130"/>
      <c r="ER46" s="185">
        <v>3</v>
      </c>
      <c r="ES46" s="185">
        <v>1</v>
      </c>
      <c r="ET46" s="185">
        <v>1</v>
      </c>
      <c r="EU46" s="185">
        <v>2</v>
      </c>
      <c r="EV46" s="185"/>
      <c r="EW46" s="185"/>
      <c r="EX46" s="185"/>
      <c r="EY46" s="185">
        <v>1</v>
      </c>
      <c r="EZ46" s="185"/>
      <c r="FA46" s="185"/>
      <c r="FB46" s="227">
        <v>1</v>
      </c>
      <c r="FC46" s="185"/>
      <c r="FD46" s="185">
        <v>1</v>
      </c>
      <c r="FE46" s="185"/>
      <c r="FF46" s="185"/>
      <c r="FG46" s="185"/>
      <c r="FH46" s="185"/>
      <c r="FI46" s="132">
        <f t="shared" si="14"/>
        <v>14</v>
      </c>
      <c r="FJ46" s="185">
        <v>0</v>
      </c>
      <c r="FK46" s="130">
        <f t="shared" si="25"/>
        <v>141</v>
      </c>
      <c r="FL46" s="130">
        <f t="shared" si="26"/>
        <v>2</v>
      </c>
      <c r="FM46" s="133">
        <f t="shared" si="27"/>
        <v>129</v>
      </c>
      <c r="FN46" s="135">
        <f t="shared" si="20"/>
        <v>14</v>
      </c>
      <c r="FO46" s="67"/>
      <c r="FP46" s="67"/>
    </row>
    <row r="47" spans="1:172" x14ac:dyDescent="0.25">
      <c r="A47" s="14">
        <v>43</v>
      </c>
      <c r="B47" s="2" t="s">
        <v>46</v>
      </c>
      <c r="C47" s="15"/>
      <c r="D47" s="183"/>
      <c r="E47" s="150">
        <v>22</v>
      </c>
      <c r="F47" s="150"/>
      <c r="G47" s="136">
        <v>-3</v>
      </c>
      <c r="H47" s="136"/>
      <c r="I47" s="136">
        <v>-1</v>
      </c>
      <c r="J47" s="136"/>
      <c r="K47" s="136"/>
      <c r="L47" s="136"/>
      <c r="M47" s="136"/>
      <c r="N47" s="136"/>
      <c r="O47" s="136"/>
      <c r="P47" s="136"/>
      <c r="Q47" s="183">
        <v>-1</v>
      </c>
      <c r="R47" s="183"/>
      <c r="S47" s="183">
        <v>-2</v>
      </c>
      <c r="T47" s="183">
        <v>-4</v>
      </c>
      <c r="U47" s="183">
        <v>-1</v>
      </c>
      <c r="V47" s="183"/>
      <c r="W47" s="183">
        <v>-1</v>
      </c>
      <c r="X47" s="131">
        <v>23</v>
      </c>
      <c r="Y47" s="131">
        <v>2</v>
      </c>
      <c r="Z47" s="130">
        <v>10</v>
      </c>
      <c r="AA47" s="130"/>
      <c r="AB47" s="130">
        <v>14</v>
      </c>
      <c r="AC47" s="130"/>
      <c r="AD47" s="130">
        <v>2</v>
      </c>
      <c r="AE47" s="130">
        <v>1</v>
      </c>
      <c r="AF47" s="130">
        <v>3</v>
      </c>
      <c r="AG47" s="130">
        <v>6</v>
      </c>
      <c r="AH47" s="185">
        <v>1</v>
      </c>
      <c r="AI47" s="185">
        <v>4</v>
      </c>
      <c r="AJ47" s="185">
        <v>2</v>
      </c>
      <c r="AK47" s="185">
        <v>5</v>
      </c>
      <c r="AL47" s="185">
        <v>6</v>
      </c>
      <c r="AM47" s="185">
        <v>9</v>
      </c>
      <c r="AN47" s="184">
        <v>9</v>
      </c>
      <c r="AO47" s="185">
        <v>4</v>
      </c>
      <c r="AP47" s="185">
        <v>3</v>
      </c>
      <c r="AQ47" s="185">
        <v>1</v>
      </c>
      <c r="AR47" s="184">
        <v>0</v>
      </c>
      <c r="AS47" s="169">
        <f>2-1</f>
        <v>1</v>
      </c>
      <c r="AT47" s="185">
        <v>1</v>
      </c>
      <c r="AU47" s="185">
        <v>0</v>
      </c>
      <c r="AV47" s="184">
        <v>0</v>
      </c>
      <c r="AW47" s="173">
        <f>1-1</f>
        <v>0</v>
      </c>
      <c r="AX47" s="141">
        <v>0</v>
      </c>
      <c r="AY47" s="154">
        <f t="shared" si="12"/>
        <v>94</v>
      </c>
      <c r="AZ47" s="185">
        <v>0</v>
      </c>
      <c r="BA47" s="131"/>
      <c r="BB47" s="131"/>
      <c r="BC47" s="130"/>
      <c r="BD47" s="130"/>
      <c r="BE47" s="130"/>
      <c r="BF47" s="130"/>
      <c r="BG47" s="130"/>
      <c r="BH47" s="130"/>
      <c r="BI47" s="130"/>
      <c r="BJ47" s="130"/>
      <c r="BK47" s="185"/>
      <c r="BL47" s="185"/>
      <c r="BM47" s="185"/>
      <c r="BN47" s="185"/>
      <c r="BO47" s="185"/>
      <c r="BP47" s="185"/>
      <c r="BQ47" s="185"/>
      <c r="BR47" s="185">
        <v>1</v>
      </c>
      <c r="BS47" s="185"/>
      <c r="BT47" s="185"/>
      <c r="BU47" s="185"/>
      <c r="BV47" s="185"/>
      <c r="BW47" s="185"/>
      <c r="BX47" s="185"/>
      <c r="BY47" s="184"/>
      <c r="BZ47" s="185"/>
      <c r="CA47" s="184">
        <v>0</v>
      </c>
      <c r="CB47" s="154">
        <f t="shared" si="13"/>
        <v>1</v>
      </c>
      <c r="CC47" s="185">
        <v>0</v>
      </c>
      <c r="CD47" s="130">
        <f t="shared" si="22"/>
        <v>95</v>
      </c>
      <c r="CE47" s="130">
        <f t="shared" si="23"/>
        <v>0</v>
      </c>
      <c r="CF47" s="133">
        <f t="shared" si="24"/>
        <v>94</v>
      </c>
      <c r="CG47" s="134">
        <f t="shared" si="21"/>
        <v>1</v>
      </c>
      <c r="CH47" s="14">
        <v>93</v>
      </c>
      <c r="CI47" s="2" t="s">
        <v>96</v>
      </c>
      <c r="CJ47" s="22"/>
      <c r="CK47" s="183"/>
      <c r="CL47" s="16">
        <v>5</v>
      </c>
      <c r="CM47" s="16"/>
      <c r="CN47" s="17"/>
      <c r="CO47" s="17"/>
      <c r="CP47" s="17"/>
      <c r="CQ47" s="17"/>
      <c r="CR47" s="136">
        <v>-1</v>
      </c>
      <c r="CS47" s="136"/>
      <c r="CT47" s="136"/>
      <c r="CU47" s="136"/>
      <c r="CV47" s="136"/>
      <c r="CW47" s="136"/>
      <c r="CX47" s="183"/>
      <c r="CY47" s="183"/>
      <c r="CZ47" s="183"/>
      <c r="DA47" s="183"/>
      <c r="DB47" s="183"/>
      <c r="DC47" s="183"/>
      <c r="DD47" s="183"/>
      <c r="DE47" s="18">
        <v>6</v>
      </c>
      <c r="DF47" s="18"/>
      <c r="DG47" s="19">
        <v>1</v>
      </c>
      <c r="DH47" s="19">
        <v>5</v>
      </c>
      <c r="DI47" s="19">
        <v>3</v>
      </c>
      <c r="DJ47" s="19">
        <v>2</v>
      </c>
      <c r="DK47" s="130">
        <v>41</v>
      </c>
      <c r="DL47" s="130">
        <v>23</v>
      </c>
      <c r="DM47" s="130">
        <v>70</v>
      </c>
      <c r="DN47" s="130"/>
      <c r="DO47" s="185">
        <v>1</v>
      </c>
      <c r="DP47" s="185"/>
      <c r="DQ47" s="185"/>
      <c r="DR47" s="185"/>
      <c r="DS47" s="185"/>
      <c r="DT47" s="185">
        <v>2</v>
      </c>
      <c r="DU47" s="185"/>
      <c r="DV47" s="185">
        <v>2</v>
      </c>
      <c r="DW47" s="185"/>
      <c r="DX47" s="185"/>
      <c r="DY47" s="185"/>
      <c r="DZ47" s="185"/>
      <c r="EA47" s="185"/>
      <c r="EB47" s="185">
        <v>1</v>
      </c>
      <c r="EC47" s="185"/>
      <c r="ED47" s="185"/>
      <c r="EE47" s="185">
        <v>3</v>
      </c>
      <c r="EF47" s="132">
        <f t="shared" si="19"/>
        <v>159</v>
      </c>
      <c r="EG47" s="185">
        <v>0</v>
      </c>
      <c r="EH47" s="131"/>
      <c r="EI47" s="131"/>
      <c r="EJ47" s="130"/>
      <c r="EK47" s="130"/>
      <c r="EL47" s="130"/>
      <c r="EM47" s="130"/>
      <c r="EN47" s="130"/>
      <c r="EO47" s="130"/>
      <c r="EP47" s="130"/>
      <c r="EQ47" s="130"/>
      <c r="ER47" s="185">
        <v>1</v>
      </c>
      <c r="ES47" s="185">
        <v>1</v>
      </c>
      <c r="ET47" s="185"/>
      <c r="EU47" s="185"/>
      <c r="EV47" s="185"/>
      <c r="EW47" s="185"/>
      <c r="EX47" s="185"/>
      <c r="EY47" s="185"/>
      <c r="EZ47" s="185"/>
      <c r="FA47" s="185"/>
      <c r="FB47" s="185"/>
      <c r="FC47" s="185"/>
      <c r="FD47" s="185"/>
      <c r="FE47" s="185"/>
      <c r="FF47" s="185"/>
      <c r="FG47" s="185"/>
      <c r="FH47" s="185"/>
      <c r="FI47" s="132">
        <f t="shared" si="14"/>
        <v>2</v>
      </c>
      <c r="FJ47" s="185">
        <v>0</v>
      </c>
      <c r="FK47" s="130">
        <f t="shared" si="25"/>
        <v>161</v>
      </c>
      <c r="FL47" s="130">
        <f t="shared" si="26"/>
        <v>0</v>
      </c>
      <c r="FM47" s="133">
        <f t="shared" si="27"/>
        <v>159</v>
      </c>
      <c r="FN47" s="134">
        <f t="shared" si="20"/>
        <v>2</v>
      </c>
      <c r="FO47" s="67"/>
      <c r="FP47" s="67"/>
    </row>
    <row r="48" spans="1:172" x14ac:dyDescent="0.25">
      <c r="A48" s="14">
        <v>44</v>
      </c>
      <c r="B48" s="2" t="s">
        <v>47</v>
      </c>
      <c r="C48" s="15"/>
      <c r="D48" s="183"/>
      <c r="E48" s="150">
        <v>17</v>
      </c>
      <c r="F48" s="150"/>
      <c r="G48" s="136"/>
      <c r="H48" s="136"/>
      <c r="I48" s="136"/>
      <c r="J48" s="136"/>
      <c r="K48" s="136"/>
      <c r="L48" s="136">
        <v>-1</v>
      </c>
      <c r="M48" s="136"/>
      <c r="N48" s="136">
        <v>-1</v>
      </c>
      <c r="O48" s="136">
        <v>-1</v>
      </c>
      <c r="P48" s="136">
        <v>-1</v>
      </c>
      <c r="Q48" s="183"/>
      <c r="R48" s="183"/>
      <c r="S48" s="183"/>
      <c r="T48" s="183"/>
      <c r="U48" s="183"/>
      <c r="V48" s="183"/>
      <c r="W48" s="183"/>
      <c r="X48" s="131">
        <v>17</v>
      </c>
      <c r="Y48" s="131">
        <v>2</v>
      </c>
      <c r="Z48" s="130">
        <v>8</v>
      </c>
      <c r="AA48" s="130"/>
      <c r="AB48" s="130"/>
      <c r="AC48" s="130">
        <v>4</v>
      </c>
      <c r="AD48" s="130">
        <v>5</v>
      </c>
      <c r="AE48" s="130">
        <v>17</v>
      </c>
      <c r="AF48" s="130">
        <v>9</v>
      </c>
      <c r="AG48" s="130">
        <v>15</v>
      </c>
      <c r="AH48" s="185">
        <v>13</v>
      </c>
      <c r="AI48" s="185">
        <v>19</v>
      </c>
      <c r="AJ48" s="185">
        <v>16</v>
      </c>
      <c r="AK48" s="185">
        <v>7</v>
      </c>
      <c r="AL48" s="185">
        <v>2</v>
      </c>
      <c r="AM48" s="185"/>
      <c r="AN48" s="184">
        <v>2</v>
      </c>
      <c r="AO48" s="185">
        <v>5</v>
      </c>
      <c r="AP48" s="185">
        <v>1</v>
      </c>
      <c r="AQ48" s="185">
        <v>8</v>
      </c>
      <c r="AR48" s="184">
        <v>9</v>
      </c>
      <c r="AS48" s="184">
        <v>1</v>
      </c>
      <c r="AT48" s="185">
        <v>3</v>
      </c>
      <c r="AU48" s="185">
        <v>2</v>
      </c>
      <c r="AV48" s="184">
        <v>1</v>
      </c>
      <c r="AW48" s="185">
        <v>3</v>
      </c>
      <c r="AX48" s="184">
        <v>10</v>
      </c>
      <c r="AY48" s="154">
        <f t="shared" si="12"/>
        <v>175</v>
      </c>
      <c r="AZ48" s="185">
        <v>1</v>
      </c>
      <c r="BA48" s="131"/>
      <c r="BB48" s="131"/>
      <c r="BC48" s="130"/>
      <c r="BD48" s="130"/>
      <c r="BE48" s="130"/>
      <c r="BF48" s="130"/>
      <c r="BG48" s="130"/>
      <c r="BH48" s="130"/>
      <c r="BI48" s="130">
        <v>3</v>
      </c>
      <c r="BJ48" s="130">
        <v>5</v>
      </c>
      <c r="BK48" s="185"/>
      <c r="BL48" s="185"/>
      <c r="BM48" s="185">
        <v>6</v>
      </c>
      <c r="BN48" s="185"/>
      <c r="BO48" s="185">
        <v>1</v>
      </c>
      <c r="BP48" s="185"/>
      <c r="BQ48" s="185">
        <v>1</v>
      </c>
      <c r="BR48" s="185"/>
      <c r="BS48" s="185"/>
      <c r="BT48" s="185"/>
      <c r="BU48" s="185"/>
      <c r="BV48" s="185"/>
      <c r="BW48" s="185">
        <v>3</v>
      </c>
      <c r="BX48" s="185">
        <v>1</v>
      </c>
      <c r="BY48" s="184"/>
      <c r="BZ48" s="185">
        <v>2</v>
      </c>
      <c r="CA48" s="184">
        <v>1</v>
      </c>
      <c r="CB48" s="154">
        <f t="shared" si="13"/>
        <v>23</v>
      </c>
      <c r="CC48" s="185">
        <v>0</v>
      </c>
      <c r="CD48" s="130">
        <f t="shared" si="22"/>
        <v>198</v>
      </c>
      <c r="CE48" s="130">
        <f t="shared" si="23"/>
        <v>1</v>
      </c>
      <c r="CF48" s="133">
        <f t="shared" si="24"/>
        <v>176</v>
      </c>
      <c r="CG48" s="134">
        <f t="shared" si="21"/>
        <v>23</v>
      </c>
      <c r="CH48" s="14">
        <v>94</v>
      </c>
      <c r="CI48" s="2" t="s">
        <v>97</v>
      </c>
      <c r="CJ48" s="22"/>
      <c r="CK48" s="183"/>
      <c r="CL48" s="16">
        <v>8</v>
      </c>
      <c r="CM48" s="16"/>
      <c r="CN48" s="17"/>
      <c r="CO48" s="17"/>
      <c r="CP48" s="17"/>
      <c r="CQ48" s="17"/>
      <c r="CR48" s="136">
        <v>-1</v>
      </c>
      <c r="CS48" s="136"/>
      <c r="CT48" s="136">
        <v>-1</v>
      </c>
      <c r="CU48" s="136"/>
      <c r="CV48" s="136"/>
      <c r="CW48" s="136">
        <v>-1</v>
      </c>
      <c r="CX48" s="183"/>
      <c r="CY48" s="183"/>
      <c r="CZ48" s="183"/>
      <c r="DA48" s="183"/>
      <c r="DB48" s="183"/>
      <c r="DC48" s="183"/>
      <c r="DD48" s="183"/>
      <c r="DE48" s="18">
        <v>9</v>
      </c>
      <c r="DF48" s="18">
        <v>1</v>
      </c>
      <c r="DG48" s="19">
        <v>3</v>
      </c>
      <c r="DH48" s="19">
        <v>2</v>
      </c>
      <c r="DI48" s="19">
        <v>4</v>
      </c>
      <c r="DJ48" s="19">
        <f>2+1</f>
        <v>3</v>
      </c>
      <c r="DK48" s="130">
        <v>52</v>
      </c>
      <c r="DL48" s="130">
        <v>51</v>
      </c>
      <c r="DM48" s="130">
        <v>5</v>
      </c>
      <c r="DN48" s="130">
        <v>10</v>
      </c>
      <c r="DO48" s="185">
        <v>2</v>
      </c>
      <c r="DP48" s="185">
        <v>2</v>
      </c>
      <c r="DQ48" s="185"/>
      <c r="DR48" s="185">
        <v>4</v>
      </c>
      <c r="DS48" s="185">
        <v>1</v>
      </c>
      <c r="DT48" s="185"/>
      <c r="DU48" s="185"/>
      <c r="DV48" s="185">
        <v>1</v>
      </c>
      <c r="DW48" s="185"/>
      <c r="DX48" s="185"/>
      <c r="DY48" s="169">
        <f>4-1</f>
        <v>3</v>
      </c>
      <c r="DZ48" s="185">
        <v>2</v>
      </c>
      <c r="EA48" s="185"/>
      <c r="EB48" s="185"/>
      <c r="EC48" s="185">
        <v>1</v>
      </c>
      <c r="ED48" s="185">
        <v>1</v>
      </c>
      <c r="EE48" s="185">
        <v>1</v>
      </c>
      <c r="EF48" s="132">
        <f t="shared" si="19"/>
        <v>155</v>
      </c>
      <c r="EG48" s="185">
        <v>0</v>
      </c>
      <c r="EH48" s="131">
        <v>1</v>
      </c>
      <c r="EI48" s="131"/>
      <c r="EJ48" s="130"/>
      <c r="EK48" s="130"/>
      <c r="EL48" s="130"/>
      <c r="EM48" s="130">
        <v>-1</v>
      </c>
      <c r="EN48" s="130"/>
      <c r="EO48" s="130">
        <v>1</v>
      </c>
      <c r="EP48" s="130"/>
      <c r="EQ48" s="130"/>
      <c r="ER48" s="185"/>
      <c r="ES48" s="185"/>
      <c r="ET48" s="185">
        <v>1</v>
      </c>
      <c r="EU48" s="185"/>
      <c r="EV48" s="185"/>
      <c r="EW48" s="185"/>
      <c r="EX48" s="185"/>
      <c r="EY48" s="185"/>
      <c r="EZ48" s="185"/>
      <c r="FA48" s="185"/>
      <c r="FB48" s="185"/>
      <c r="FC48" s="185"/>
      <c r="FD48" s="185"/>
      <c r="FE48" s="185"/>
      <c r="FF48" s="185"/>
      <c r="FG48" s="185"/>
      <c r="FH48" s="185"/>
      <c r="FI48" s="132">
        <f t="shared" si="14"/>
        <v>2</v>
      </c>
      <c r="FJ48" s="185">
        <v>0</v>
      </c>
      <c r="FK48" s="130">
        <f t="shared" si="25"/>
        <v>157</v>
      </c>
      <c r="FL48" s="130">
        <f t="shared" si="26"/>
        <v>0</v>
      </c>
      <c r="FM48" s="133">
        <f t="shared" si="27"/>
        <v>155</v>
      </c>
      <c r="FN48" s="134">
        <f t="shared" si="20"/>
        <v>2</v>
      </c>
      <c r="FO48" s="67"/>
      <c r="FP48" s="67"/>
    </row>
    <row r="49" spans="1:172" x14ac:dyDescent="0.25">
      <c r="A49" s="14">
        <v>45</v>
      </c>
      <c r="B49" s="2" t="s">
        <v>48</v>
      </c>
      <c r="C49" s="15"/>
      <c r="D49" s="183"/>
      <c r="E49" s="150">
        <v>52</v>
      </c>
      <c r="F49" s="150"/>
      <c r="G49" s="136"/>
      <c r="H49" s="136"/>
      <c r="I49" s="136">
        <v>-1</v>
      </c>
      <c r="J49" s="136"/>
      <c r="K49" s="136"/>
      <c r="L49" s="136"/>
      <c r="M49" s="136"/>
      <c r="N49" s="136"/>
      <c r="O49" s="136"/>
      <c r="P49" s="136"/>
      <c r="Q49" s="183">
        <v>-3</v>
      </c>
      <c r="R49" s="183"/>
      <c r="S49" s="183">
        <v>-1</v>
      </c>
      <c r="T49" s="183"/>
      <c r="U49" s="183"/>
      <c r="V49" s="183"/>
      <c r="W49" s="183"/>
      <c r="X49" s="131">
        <v>49</v>
      </c>
      <c r="Y49" s="131"/>
      <c r="Z49" s="130"/>
      <c r="AA49" s="130">
        <v>4</v>
      </c>
      <c r="AB49" s="130">
        <v>6</v>
      </c>
      <c r="AC49" s="130"/>
      <c r="AD49" s="130">
        <v>1</v>
      </c>
      <c r="AE49" s="130">
        <v>2</v>
      </c>
      <c r="AF49" s="130">
        <v>7</v>
      </c>
      <c r="AG49" s="130">
        <v>3</v>
      </c>
      <c r="AH49" s="185">
        <v>1</v>
      </c>
      <c r="AI49" s="185">
        <v>1</v>
      </c>
      <c r="AJ49" s="185">
        <v>10</v>
      </c>
      <c r="AK49" s="185">
        <v>1</v>
      </c>
      <c r="AL49" s="185">
        <v>6</v>
      </c>
      <c r="AM49" s="185">
        <v>2</v>
      </c>
      <c r="AN49" s="184">
        <v>2</v>
      </c>
      <c r="AO49" s="185">
        <v>2</v>
      </c>
      <c r="AP49" s="185"/>
      <c r="AQ49" s="185"/>
      <c r="AR49" s="184">
        <v>0</v>
      </c>
      <c r="AS49" s="184">
        <v>0</v>
      </c>
      <c r="AT49" s="185">
        <v>1</v>
      </c>
      <c r="AU49" s="185">
        <v>2</v>
      </c>
      <c r="AV49" s="184">
        <v>1</v>
      </c>
      <c r="AW49" s="173">
        <f>1-1</f>
        <v>0</v>
      </c>
      <c r="AX49" s="141">
        <v>1</v>
      </c>
      <c r="AY49" s="154">
        <f t="shared" si="12"/>
        <v>97</v>
      </c>
      <c r="AZ49" s="185">
        <v>1</v>
      </c>
      <c r="BA49" s="131">
        <v>6</v>
      </c>
      <c r="BB49" s="131"/>
      <c r="BC49" s="130"/>
      <c r="BD49" s="130">
        <v>-1</v>
      </c>
      <c r="BE49" s="130"/>
      <c r="BF49" s="130"/>
      <c r="BG49" s="130"/>
      <c r="BH49" s="130"/>
      <c r="BI49" s="130"/>
      <c r="BJ49" s="130"/>
      <c r="BK49" s="185"/>
      <c r="BL49" s="185"/>
      <c r="BM49" s="185">
        <v>1</v>
      </c>
      <c r="BN49" s="185"/>
      <c r="BO49" s="185">
        <v>1</v>
      </c>
      <c r="BP49" s="185"/>
      <c r="BQ49" s="185"/>
      <c r="BR49" s="185"/>
      <c r="BS49" s="185"/>
      <c r="BT49" s="185"/>
      <c r="BU49" s="185"/>
      <c r="BV49" s="185"/>
      <c r="BW49" s="185"/>
      <c r="BX49" s="185"/>
      <c r="BY49" s="184"/>
      <c r="BZ49" s="185"/>
      <c r="CA49" s="184">
        <v>0</v>
      </c>
      <c r="CB49" s="154">
        <f t="shared" si="13"/>
        <v>7</v>
      </c>
      <c r="CC49" s="185">
        <v>2</v>
      </c>
      <c r="CD49" s="130">
        <f t="shared" si="22"/>
        <v>104</v>
      </c>
      <c r="CE49" s="130">
        <f t="shared" si="23"/>
        <v>3</v>
      </c>
      <c r="CF49" s="133">
        <f t="shared" si="24"/>
        <v>98</v>
      </c>
      <c r="CG49" s="134">
        <f t="shared" si="21"/>
        <v>9</v>
      </c>
      <c r="CH49" s="14">
        <v>95</v>
      </c>
      <c r="CI49" s="2" t="s">
        <v>98</v>
      </c>
      <c r="CJ49" s="22"/>
      <c r="CK49" s="183"/>
      <c r="CL49" s="16">
        <v>99</v>
      </c>
      <c r="CM49" s="16"/>
      <c r="CN49" s="17"/>
      <c r="CO49" s="17">
        <v>-3</v>
      </c>
      <c r="CP49" s="17"/>
      <c r="CQ49" s="17"/>
      <c r="CR49" s="136"/>
      <c r="CS49" s="136"/>
      <c r="CT49" s="136">
        <v>-1</v>
      </c>
      <c r="CU49" s="136"/>
      <c r="CV49" s="136"/>
      <c r="CW49" s="136"/>
      <c r="CX49" s="183">
        <v>-1</v>
      </c>
      <c r="CY49" s="183">
        <v>-1</v>
      </c>
      <c r="CZ49" s="183"/>
      <c r="DA49" s="183">
        <v>-1</v>
      </c>
      <c r="DB49" s="183"/>
      <c r="DC49" s="183"/>
      <c r="DD49" s="183"/>
      <c r="DE49" s="18">
        <v>105</v>
      </c>
      <c r="DF49" s="18">
        <v>13</v>
      </c>
      <c r="DG49" s="19"/>
      <c r="DH49" s="19">
        <v>29</v>
      </c>
      <c r="DI49" s="19">
        <v>16</v>
      </c>
      <c r="DJ49" s="19">
        <v>40</v>
      </c>
      <c r="DK49" s="130">
        <v>10</v>
      </c>
      <c r="DL49" s="130">
        <v>15</v>
      </c>
      <c r="DM49" s="130">
        <v>2</v>
      </c>
      <c r="DN49" s="130">
        <v>3</v>
      </c>
      <c r="DO49" s="185">
        <v>9</v>
      </c>
      <c r="DP49" s="185">
        <v>9</v>
      </c>
      <c r="DQ49" s="185">
        <v>15</v>
      </c>
      <c r="DR49" s="185">
        <v>13</v>
      </c>
      <c r="DS49" s="185">
        <v>6</v>
      </c>
      <c r="DT49" s="185">
        <v>4</v>
      </c>
      <c r="DU49" s="185">
        <v>3</v>
      </c>
      <c r="DV49" s="185">
        <v>4</v>
      </c>
      <c r="DW49" s="185">
        <v>9</v>
      </c>
      <c r="DX49" s="185">
        <v>2</v>
      </c>
      <c r="DY49" s="169">
        <f>3-1</f>
        <v>2</v>
      </c>
      <c r="DZ49" s="169">
        <f>19-4</f>
        <v>15</v>
      </c>
      <c r="EA49" s="185"/>
      <c r="EB49" s="225">
        <f>21-7+2</f>
        <v>16</v>
      </c>
      <c r="EC49" s="185"/>
      <c r="ED49" s="185"/>
      <c r="EE49" s="185">
        <v>0</v>
      </c>
      <c r="EF49" s="132">
        <f t="shared" si="19"/>
        <v>333</v>
      </c>
      <c r="EG49" s="185">
        <v>4</v>
      </c>
      <c r="EH49" s="131">
        <v>2</v>
      </c>
      <c r="EI49" s="131"/>
      <c r="EJ49" s="130"/>
      <c r="EK49" s="130">
        <v>-2</v>
      </c>
      <c r="EL49" s="130">
        <v>2</v>
      </c>
      <c r="EM49" s="130"/>
      <c r="EN49" s="130"/>
      <c r="EO49" s="130"/>
      <c r="EP49" s="130">
        <v>1</v>
      </c>
      <c r="EQ49" s="130"/>
      <c r="ER49" s="185"/>
      <c r="ES49" s="185"/>
      <c r="ET49" s="185">
        <v>1</v>
      </c>
      <c r="EU49" s="185"/>
      <c r="EV49" s="185"/>
      <c r="EW49" s="185"/>
      <c r="EX49" s="185"/>
      <c r="EY49" s="185"/>
      <c r="EZ49" s="185"/>
      <c r="FA49" s="185"/>
      <c r="FB49" s="185"/>
      <c r="FC49" s="185"/>
      <c r="FD49" s="185"/>
      <c r="FE49" s="227">
        <f>-2</f>
        <v>-2</v>
      </c>
      <c r="FF49" s="185"/>
      <c r="FG49" s="185"/>
      <c r="FH49" s="185"/>
      <c r="FI49" s="132">
        <f t="shared" si="14"/>
        <v>2</v>
      </c>
      <c r="FJ49" s="185">
        <v>0</v>
      </c>
      <c r="FK49" s="130">
        <f t="shared" si="25"/>
        <v>335</v>
      </c>
      <c r="FL49" s="130">
        <f t="shared" si="26"/>
        <v>4</v>
      </c>
      <c r="FM49" s="133">
        <f t="shared" si="27"/>
        <v>337</v>
      </c>
      <c r="FN49" s="134">
        <f t="shared" si="20"/>
        <v>2</v>
      </c>
      <c r="FO49" s="67"/>
      <c r="FP49" s="67"/>
    </row>
    <row r="50" spans="1:172" x14ac:dyDescent="0.25">
      <c r="A50" s="14">
        <v>46</v>
      </c>
      <c r="B50" s="2" t="s">
        <v>49</v>
      </c>
      <c r="C50" s="15"/>
      <c r="D50" s="183"/>
      <c r="E50" s="150">
        <v>30</v>
      </c>
      <c r="F50" s="150"/>
      <c r="G50" s="136"/>
      <c r="H50" s="136"/>
      <c r="I50" s="136">
        <v>-1</v>
      </c>
      <c r="J50" s="136"/>
      <c r="K50" s="136"/>
      <c r="L50" s="136">
        <v>-2</v>
      </c>
      <c r="M50" s="136"/>
      <c r="N50" s="136"/>
      <c r="O50" s="136"/>
      <c r="P50" s="136">
        <v>-1</v>
      </c>
      <c r="Q50" s="183">
        <v>-1</v>
      </c>
      <c r="R50" s="183"/>
      <c r="S50" s="183"/>
      <c r="T50" s="183">
        <v>-2</v>
      </c>
      <c r="U50" s="183">
        <v>-3</v>
      </c>
      <c r="V50" s="183">
        <v>-1</v>
      </c>
      <c r="W50" s="183">
        <v>-2</v>
      </c>
      <c r="X50" s="131">
        <v>33</v>
      </c>
      <c r="Y50" s="131">
        <v>1</v>
      </c>
      <c r="Z50" s="130">
        <v>74</v>
      </c>
      <c r="AA50" s="130">
        <v>17</v>
      </c>
      <c r="AB50" s="130">
        <v>3</v>
      </c>
      <c r="AC50" s="130">
        <v>7</v>
      </c>
      <c r="AD50" s="130">
        <v>6</v>
      </c>
      <c r="AE50" s="130">
        <v>16</v>
      </c>
      <c r="AF50" s="130">
        <v>6</v>
      </c>
      <c r="AG50" s="130">
        <v>3</v>
      </c>
      <c r="AH50" s="185">
        <v>8</v>
      </c>
      <c r="AI50" s="185">
        <v>2</v>
      </c>
      <c r="AJ50" s="185">
        <v>5</v>
      </c>
      <c r="AK50" s="185">
        <v>6</v>
      </c>
      <c r="AL50" s="185">
        <v>3</v>
      </c>
      <c r="AM50" s="185">
        <v>8</v>
      </c>
      <c r="AN50" s="184">
        <v>2</v>
      </c>
      <c r="AO50" s="185">
        <v>13</v>
      </c>
      <c r="AP50" s="185">
        <v>2</v>
      </c>
      <c r="AQ50" s="185">
        <v>1</v>
      </c>
      <c r="AR50" s="184">
        <v>6</v>
      </c>
      <c r="AS50" s="169">
        <f>1-1</f>
        <v>0</v>
      </c>
      <c r="AT50" s="185">
        <v>5</v>
      </c>
      <c r="AU50" s="185">
        <v>3</v>
      </c>
      <c r="AV50" s="184">
        <v>1</v>
      </c>
      <c r="AW50" s="185">
        <v>0</v>
      </c>
      <c r="AX50" s="184">
        <v>2</v>
      </c>
      <c r="AY50" s="154">
        <f t="shared" si="12"/>
        <v>220</v>
      </c>
      <c r="AZ50" s="185">
        <v>2</v>
      </c>
      <c r="BA50" s="131"/>
      <c r="BB50" s="131"/>
      <c r="BC50" s="130">
        <v>3</v>
      </c>
      <c r="BD50" s="130">
        <v>1</v>
      </c>
      <c r="BE50" s="130"/>
      <c r="BF50" s="130"/>
      <c r="BG50" s="130"/>
      <c r="BH50" s="130">
        <v>1</v>
      </c>
      <c r="BI50" s="130"/>
      <c r="BJ50" s="130"/>
      <c r="BK50" s="185"/>
      <c r="BL50" s="185"/>
      <c r="BM50" s="185"/>
      <c r="BN50" s="185"/>
      <c r="BO50" s="185"/>
      <c r="BP50" s="185"/>
      <c r="BQ50" s="185"/>
      <c r="BR50" s="185"/>
      <c r="BS50" s="185">
        <v>1</v>
      </c>
      <c r="BT50" s="185"/>
      <c r="BU50" s="185"/>
      <c r="BV50" s="185"/>
      <c r="BW50" s="185"/>
      <c r="BX50" s="185"/>
      <c r="BY50" s="184"/>
      <c r="BZ50" s="185">
        <v>1</v>
      </c>
      <c r="CA50" s="184">
        <v>0</v>
      </c>
      <c r="CB50" s="154">
        <f t="shared" si="13"/>
        <v>7</v>
      </c>
      <c r="CC50" s="185">
        <v>1</v>
      </c>
      <c r="CD50" s="130">
        <f t="shared" si="22"/>
        <v>227</v>
      </c>
      <c r="CE50" s="130">
        <f t="shared" si="23"/>
        <v>3</v>
      </c>
      <c r="CF50" s="133">
        <f t="shared" si="24"/>
        <v>222</v>
      </c>
      <c r="CG50" s="134">
        <f t="shared" si="21"/>
        <v>8</v>
      </c>
      <c r="CH50" s="14">
        <v>971</v>
      </c>
      <c r="CI50" s="2" t="s">
        <v>99</v>
      </c>
      <c r="CJ50" s="22"/>
      <c r="CK50" s="183"/>
      <c r="CL50" s="16"/>
      <c r="CM50" s="16"/>
      <c r="CN50" s="17"/>
      <c r="CO50" s="17"/>
      <c r="CP50" s="17"/>
      <c r="CQ50" s="17"/>
      <c r="CR50" s="136"/>
      <c r="CS50" s="136"/>
      <c r="CT50" s="136"/>
      <c r="CU50" s="136"/>
      <c r="CV50" s="136"/>
      <c r="CW50" s="136"/>
      <c r="CX50" s="183"/>
      <c r="CY50" s="183"/>
      <c r="CZ50" s="183"/>
      <c r="DA50" s="183"/>
      <c r="DB50" s="183"/>
      <c r="DC50" s="183"/>
      <c r="DD50" s="183"/>
      <c r="DE50" s="18"/>
      <c r="DF50" s="18"/>
      <c r="DG50" s="19"/>
      <c r="DH50" s="19"/>
      <c r="DI50" s="19"/>
      <c r="DJ50" s="19"/>
      <c r="DK50" s="130"/>
      <c r="DL50" s="130"/>
      <c r="DM50" s="130"/>
      <c r="DN50" s="130"/>
      <c r="DO50" s="185"/>
      <c r="DP50" s="185">
        <v>1</v>
      </c>
      <c r="DQ50" s="185"/>
      <c r="DR50" s="185">
        <v>1</v>
      </c>
      <c r="DS50" s="185"/>
      <c r="DT50" s="185"/>
      <c r="DU50" s="185"/>
      <c r="DV50" s="185"/>
      <c r="DW50" s="185"/>
      <c r="DX50" s="185"/>
      <c r="DY50" s="185"/>
      <c r="DZ50" s="185"/>
      <c r="EA50" s="185"/>
      <c r="EB50" s="185"/>
      <c r="EC50" s="185"/>
      <c r="ED50" s="185"/>
      <c r="EE50" s="185">
        <v>0</v>
      </c>
      <c r="EF50" s="132">
        <f t="shared" si="19"/>
        <v>2</v>
      </c>
      <c r="EG50" s="185">
        <v>0</v>
      </c>
      <c r="EH50" s="131"/>
      <c r="EI50" s="131"/>
      <c r="EJ50" s="130"/>
      <c r="EK50" s="130"/>
      <c r="EL50" s="130"/>
      <c r="EM50" s="130"/>
      <c r="EN50" s="130"/>
      <c r="EO50" s="130"/>
      <c r="EP50" s="130"/>
      <c r="EQ50" s="130"/>
      <c r="ER50" s="185"/>
      <c r="ES50" s="185"/>
      <c r="ET50" s="185"/>
      <c r="EU50" s="185"/>
      <c r="EV50" s="185"/>
      <c r="EW50" s="185"/>
      <c r="EX50" s="185"/>
      <c r="EY50" s="185"/>
      <c r="EZ50" s="185"/>
      <c r="FA50" s="185"/>
      <c r="FB50" s="185"/>
      <c r="FC50" s="185"/>
      <c r="FD50" s="185"/>
      <c r="FE50" s="185"/>
      <c r="FF50" s="185"/>
      <c r="FG50" s="185"/>
      <c r="FH50" s="185"/>
      <c r="FI50" s="132">
        <f t="shared" si="14"/>
        <v>0</v>
      </c>
      <c r="FJ50" s="185">
        <v>0</v>
      </c>
      <c r="FK50" s="130">
        <f t="shared" si="25"/>
        <v>2</v>
      </c>
      <c r="FL50" s="130">
        <f t="shared" si="26"/>
        <v>0</v>
      </c>
      <c r="FM50" s="133">
        <f t="shared" si="27"/>
        <v>2</v>
      </c>
      <c r="FN50" s="134">
        <f t="shared" si="20"/>
        <v>0</v>
      </c>
      <c r="FO50" s="67"/>
      <c r="FP50" s="67"/>
    </row>
    <row r="51" spans="1:172" x14ac:dyDescent="0.25">
      <c r="A51" s="14">
        <v>47</v>
      </c>
      <c r="B51" s="2" t="s">
        <v>50</v>
      </c>
      <c r="C51" s="15"/>
      <c r="D51" s="183"/>
      <c r="E51" s="150">
        <v>42</v>
      </c>
      <c r="F51" s="150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83"/>
      <c r="R51" s="183"/>
      <c r="S51" s="183"/>
      <c r="T51" s="183"/>
      <c r="U51" s="183"/>
      <c r="V51" s="183"/>
      <c r="W51" s="183"/>
      <c r="X51" s="131">
        <v>41</v>
      </c>
      <c r="Y51" s="131"/>
      <c r="Z51" s="130">
        <v>4</v>
      </c>
      <c r="AA51" s="130">
        <v>2</v>
      </c>
      <c r="AB51" s="130">
        <v>9</v>
      </c>
      <c r="AC51" s="130"/>
      <c r="AD51" s="130"/>
      <c r="AE51" s="130"/>
      <c r="AF51" s="130">
        <v>4</v>
      </c>
      <c r="AG51" s="130"/>
      <c r="AH51" s="185">
        <v>2</v>
      </c>
      <c r="AI51" s="185">
        <v>4</v>
      </c>
      <c r="AJ51" s="185"/>
      <c r="AK51" s="185">
        <v>24</v>
      </c>
      <c r="AL51" s="185">
        <v>4</v>
      </c>
      <c r="AM51" s="185">
        <v>14</v>
      </c>
      <c r="AN51" s="184">
        <v>2</v>
      </c>
      <c r="AO51" s="185">
        <v>1</v>
      </c>
      <c r="AP51" s="185">
        <v>12</v>
      </c>
      <c r="AQ51" s="185">
        <v>3</v>
      </c>
      <c r="AR51" s="184">
        <v>1</v>
      </c>
      <c r="AS51" s="184">
        <v>2</v>
      </c>
      <c r="AT51" s="185">
        <v>1</v>
      </c>
      <c r="AU51" s="169">
        <f>1-1</f>
        <v>0</v>
      </c>
      <c r="AV51" s="184">
        <v>0</v>
      </c>
      <c r="AW51" s="185">
        <v>0</v>
      </c>
      <c r="AX51" s="184">
        <v>1</v>
      </c>
      <c r="AY51" s="154">
        <f t="shared" si="12"/>
        <v>131</v>
      </c>
      <c r="AZ51" s="185">
        <v>0</v>
      </c>
      <c r="BA51" s="131">
        <v>1</v>
      </c>
      <c r="BB51" s="131"/>
      <c r="BC51" s="130">
        <v>1</v>
      </c>
      <c r="BD51" s="130">
        <v>-1</v>
      </c>
      <c r="BE51" s="130"/>
      <c r="BF51" s="130"/>
      <c r="BG51" s="130"/>
      <c r="BH51" s="130"/>
      <c r="BI51" s="130"/>
      <c r="BJ51" s="130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  <c r="BV51" s="185"/>
      <c r="BW51" s="185"/>
      <c r="BX51" s="185"/>
      <c r="BY51" s="184"/>
      <c r="BZ51" s="185">
        <v>2</v>
      </c>
      <c r="CA51" s="184">
        <v>0</v>
      </c>
      <c r="CB51" s="154">
        <f t="shared" si="13"/>
        <v>3</v>
      </c>
      <c r="CC51" s="185">
        <v>1</v>
      </c>
      <c r="CD51" s="130">
        <f t="shared" si="22"/>
        <v>134</v>
      </c>
      <c r="CE51" s="130">
        <f t="shared" si="23"/>
        <v>1</v>
      </c>
      <c r="CF51" s="133">
        <f t="shared" si="24"/>
        <v>131</v>
      </c>
      <c r="CG51" s="134">
        <f t="shared" si="21"/>
        <v>4</v>
      </c>
      <c r="CH51" s="14">
        <v>972</v>
      </c>
      <c r="CI51" s="2" t="s">
        <v>100</v>
      </c>
      <c r="CJ51" s="22"/>
      <c r="CK51" s="183"/>
      <c r="CL51" s="16"/>
      <c r="CM51" s="16"/>
      <c r="CN51" s="17"/>
      <c r="CO51" s="17"/>
      <c r="CP51" s="17"/>
      <c r="CQ51" s="17"/>
      <c r="CR51" s="136"/>
      <c r="CS51" s="136"/>
      <c r="CT51" s="136"/>
      <c r="CU51" s="136"/>
      <c r="CV51" s="136"/>
      <c r="CW51" s="136"/>
      <c r="CX51" s="183"/>
      <c r="CY51" s="183"/>
      <c r="CZ51" s="183"/>
      <c r="DA51" s="183"/>
      <c r="DB51" s="183"/>
      <c r="DC51" s="183"/>
      <c r="DD51" s="183"/>
      <c r="DE51" s="18"/>
      <c r="DF51" s="18"/>
      <c r="DG51" s="19"/>
      <c r="DH51" s="19"/>
      <c r="DI51" s="19">
        <v>1</v>
      </c>
      <c r="DJ51" s="19"/>
      <c r="DK51" s="130">
        <v>1</v>
      </c>
      <c r="DL51" s="130"/>
      <c r="DM51" s="130"/>
      <c r="DN51" s="130"/>
      <c r="DO51" s="185"/>
      <c r="DP51" s="185"/>
      <c r="DQ51" s="185"/>
      <c r="DR51" s="185"/>
      <c r="DS51" s="185"/>
      <c r="DT51" s="185"/>
      <c r="DU51" s="185"/>
      <c r="DV51" s="185"/>
      <c r="DW51" s="185"/>
      <c r="DX51" s="185"/>
      <c r="DY51" s="185"/>
      <c r="DZ51" s="185"/>
      <c r="EA51" s="185"/>
      <c r="EB51" s="185"/>
      <c r="EC51" s="185"/>
      <c r="ED51" s="185"/>
      <c r="EE51" s="185">
        <v>0</v>
      </c>
      <c r="EF51" s="132">
        <f t="shared" si="19"/>
        <v>2</v>
      </c>
      <c r="EG51" s="185">
        <v>1</v>
      </c>
      <c r="EH51" s="131"/>
      <c r="EI51" s="131"/>
      <c r="EJ51" s="130"/>
      <c r="EK51" s="130"/>
      <c r="EL51" s="130"/>
      <c r="EM51" s="130"/>
      <c r="EN51" s="130"/>
      <c r="EO51" s="130"/>
      <c r="EP51" s="130"/>
      <c r="EQ51" s="130"/>
      <c r="ER51" s="185"/>
      <c r="ES51" s="185"/>
      <c r="ET51" s="185"/>
      <c r="EU51" s="185"/>
      <c r="EV51" s="185"/>
      <c r="EW51" s="185"/>
      <c r="EX51" s="185"/>
      <c r="EY51" s="185"/>
      <c r="EZ51" s="185"/>
      <c r="FA51" s="185"/>
      <c r="FB51" s="185"/>
      <c r="FC51" s="185"/>
      <c r="FD51" s="185"/>
      <c r="FE51" s="185"/>
      <c r="FF51" s="185"/>
      <c r="FG51" s="185"/>
      <c r="FH51" s="185"/>
      <c r="FI51" s="132">
        <f t="shared" si="14"/>
        <v>0</v>
      </c>
      <c r="FJ51" s="185">
        <v>0</v>
      </c>
      <c r="FK51" s="130">
        <f t="shared" si="25"/>
        <v>2</v>
      </c>
      <c r="FL51" s="130">
        <f t="shared" si="26"/>
        <v>1</v>
      </c>
      <c r="FM51" s="133">
        <f t="shared" si="27"/>
        <v>3</v>
      </c>
      <c r="FN51" s="134">
        <f t="shared" si="20"/>
        <v>0</v>
      </c>
      <c r="FO51" s="67"/>
      <c r="FP51" s="67"/>
    </row>
    <row r="52" spans="1:172" x14ac:dyDescent="0.25">
      <c r="A52" s="14">
        <v>48</v>
      </c>
      <c r="B52" s="2" t="s">
        <v>51</v>
      </c>
      <c r="C52" s="15"/>
      <c r="D52" s="183"/>
      <c r="E52" s="150">
        <v>26</v>
      </c>
      <c r="F52" s="150"/>
      <c r="G52" s="136"/>
      <c r="H52" s="136"/>
      <c r="I52" s="136"/>
      <c r="J52" s="136">
        <v>-1</v>
      </c>
      <c r="K52" s="136"/>
      <c r="L52" s="136"/>
      <c r="M52" s="136"/>
      <c r="N52" s="136"/>
      <c r="O52" s="136"/>
      <c r="P52" s="136">
        <v>-2</v>
      </c>
      <c r="Q52" s="183"/>
      <c r="R52" s="183">
        <v>-4</v>
      </c>
      <c r="S52" s="183"/>
      <c r="T52" s="183"/>
      <c r="U52" s="183"/>
      <c r="V52" s="183"/>
      <c r="W52" s="183">
        <v>-1</v>
      </c>
      <c r="X52" s="131">
        <v>35</v>
      </c>
      <c r="Y52" s="131"/>
      <c r="Z52" s="130"/>
      <c r="AA52" s="130">
        <v>3</v>
      </c>
      <c r="AB52" s="130">
        <v>1</v>
      </c>
      <c r="AC52" s="130">
        <v>2</v>
      </c>
      <c r="AD52" s="130">
        <v>1</v>
      </c>
      <c r="AE52" s="130">
        <v>1</v>
      </c>
      <c r="AF52" s="130">
        <v>7</v>
      </c>
      <c r="AG52" s="130">
        <v>4</v>
      </c>
      <c r="AH52" s="185">
        <v>2</v>
      </c>
      <c r="AI52" s="185">
        <v>11</v>
      </c>
      <c r="AJ52" s="185">
        <v>1</v>
      </c>
      <c r="AK52" s="185">
        <v>92</v>
      </c>
      <c r="AL52" s="185">
        <v>10</v>
      </c>
      <c r="AM52" s="185">
        <v>4</v>
      </c>
      <c r="AN52" s="184">
        <v>2</v>
      </c>
      <c r="AO52" s="185"/>
      <c r="AP52" s="185">
        <v>1</v>
      </c>
      <c r="AQ52" s="185">
        <v>1</v>
      </c>
      <c r="AR52" s="184">
        <v>1</v>
      </c>
      <c r="AS52" s="169">
        <f>4-2</f>
        <v>2</v>
      </c>
      <c r="AT52" s="185">
        <v>3</v>
      </c>
      <c r="AU52" s="185">
        <f>2</f>
        <v>2</v>
      </c>
      <c r="AV52" s="184">
        <v>2</v>
      </c>
      <c r="AW52" s="185">
        <v>1</v>
      </c>
      <c r="AX52" s="173">
        <f>1-3</f>
        <v>-2</v>
      </c>
      <c r="AY52" s="154">
        <f t="shared" si="12"/>
        <v>179</v>
      </c>
      <c r="AZ52" s="185">
        <v>1</v>
      </c>
      <c r="BA52" s="131"/>
      <c r="BB52" s="131"/>
      <c r="BC52" s="130"/>
      <c r="BD52" s="130"/>
      <c r="BE52" s="130"/>
      <c r="BF52" s="130"/>
      <c r="BG52" s="130"/>
      <c r="BH52" s="130"/>
      <c r="BI52" s="130"/>
      <c r="BJ52" s="130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  <c r="BV52" s="185"/>
      <c r="BW52" s="185"/>
      <c r="BX52" s="185"/>
      <c r="BY52" s="184"/>
      <c r="BZ52" s="185">
        <v>1</v>
      </c>
      <c r="CA52" s="184">
        <v>1</v>
      </c>
      <c r="CB52" s="154">
        <f t="shared" si="13"/>
        <v>2</v>
      </c>
      <c r="CC52" s="185">
        <v>0</v>
      </c>
      <c r="CD52" s="130">
        <f t="shared" si="22"/>
        <v>181</v>
      </c>
      <c r="CE52" s="130">
        <f t="shared" si="23"/>
        <v>1</v>
      </c>
      <c r="CF52" s="133">
        <f t="shared" si="24"/>
        <v>180</v>
      </c>
      <c r="CG52" s="134">
        <f t="shared" si="21"/>
        <v>2</v>
      </c>
      <c r="CH52" s="14">
        <v>973</v>
      </c>
      <c r="CI52" s="2" t="s">
        <v>101</v>
      </c>
      <c r="CJ52" s="22"/>
      <c r="CK52" s="183"/>
      <c r="CL52" s="16">
        <v>1</v>
      </c>
      <c r="CM52" s="16"/>
      <c r="CN52" s="17"/>
      <c r="CO52" s="17"/>
      <c r="CP52" s="17"/>
      <c r="CQ52" s="17"/>
      <c r="CR52" s="136"/>
      <c r="CS52" s="136"/>
      <c r="CT52" s="136"/>
      <c r="CU52" s="136"/>
      <c r="CV52" s="136"/>
      <c r="CW52" s="136"/>
      <c r="CX52" s="183"/>
      <c r="CY52" s="183"/>
      <c r="CZ52" s="183"/>
      <c r="DA52" s="183"/>
      <c r="DB52" s="183"/>
      <c r="DC52" s="183"/>
      <c r="DD52" s="183"/>
      <c r="DE52" s="18">
        <v>1</v>
      </c>
      <c r="DF52" s="18"/>
      <c r="DG52" s="19"/>
      <c r="DH52" s="19"/>
      <c r="DI52" s="19"/>
      <c r="DJ52" s="19"/>
      <c r="DK52" s="130"/>
      <c r="DL52" s="130"/>
      <c r="DM52" s="130"/>
      <c r="DN52" s="130"/>
      <c r="DO52" s="185"/>
      <c r="DP52" s="185"/>
      <c r="DQ52" s="185"/>
      <c r="DR52" s="185"/>
      <c r="DS52" s="185"/>
      <c r="DT52" s="185"/>
      <c r="DU52" s="185"/>
      <c r="DV52" s="185"/>
      <c r="DW52" s="185"/>
      <c r="DX52" s="185"/>
      <c r="DY52" s="185"/>
      <c r="DZ52" s="185"/>
      <c r="EA52" s="185"/>
      <c r="EB52" s="185"/>
      <c r="EC52" s="185"/>
      <c r="ED52" s="185"/>
      <c r="EE52" s="185">
        <v>0</v>
      </c>
      <c r="EF52" s="132">
        <f t="shared" si="19"/>
        <v>1</v>
      </c>
      <c r="EG52" s="185">
        <v>0</v>
      </c>
      <c r="EH52" s="131"/>
      <c r="EI52" s="131"/>
      <c r="EJ52" s="130"/>
      <c r="EK52" s="130"/>
      <c r="EL52" s="130"/>
      <c r="EM52" s="130"/>
      <c r="EN52" s="130"/>
      <c r="EO52" s="130"/>
      <c r="EP52" s="130"/>
      <c r="EQ52" s="130"/>
      <c r="ER52" s="185"/>
      <c r="ES52" s="185"/>
      <c r="ET52" s="185"/>
      <c r="EU52" s="185"/>
      <c r="EV52" s="185"/>
      <c r="EW52" s="185"/>
      <c r="EX52" s="185"/>
      <c r="EY52" s="185"/>
      <c r="EZ52" s="185"/>
      <c r="FA52" s="185"/>
      <c r="FB52" s="185"/>
      <c r="FC52" s="185"/>
      <c r="FD52" s="185"/>
      <c r="FE52" s="185"/>
      <c r="FF52" s="185"/>
      <c r="FG52" s="185"/>
      <c r="FH52" s="185"/>
      <c r="FI52" s="132">
        <f t="shared" si="14"/>
        <v>0</v>
      </c>
      <c r="FJ52" s="185">
        <v>0</v>
      </c>
      <c r="FK52" s="130">
        <f t="shared" si="25"/>
        <v>1</v>
      </c>
      <c r="FL52" s="130">
        <f t="shared" si="26"/>
        <v>0</v>
      </c>
      <c r="FM52" s="133">
        <f t="shared" si="27"/>
        <v>1</v>
      </c>
      <c r="FN52" s="134">
        <f t="shared" si="20"/>
        <v>0</v>
      </c>
      <c r="FO52" s="67"/>
      <c r="FP52" s="67"/>
    </row>
    <row r="53" spans="1:172" x14ac:dyDescent="0.25">
      <c r="A53" s="14">
        <v>49</v>
      </c>
      <c r="B53" s="2" t="s">
        <v>52</v>
      </c>
      <c r="C53" s="15"/>
      <c r="D53" s="183">
        <v>-1</v>
      </c>
      <c r="E53" s="150">
        <v>66</v>
      </c>
      <c r="F53" s="150"/>
      <c r="G53" s="136">
        <v>-2</v>
      </c>
      <c r="H53" s="136"/>
      <c r="I53" s="136"/>
      <c r="J53" s="136">
        <v>-1</v>
      </c>
      <c r="K53" s="136"/>
      <c r="L53" s="136"/>
      <c r="M53" s="136">
        <v>-2</v>
      </c>
      <c r="N53" s="136"/>
      <c r="O53" s="136"/>
      <c r="P53" s="136"/>
      <c r="Q53" s="183"/>
      <c r="R53" s="183"/>
      <c r="S53" s="183"/>
      <c r="T53" s="183"/>
      <c r="U53" s="183"/>
      <c r="V53" s="183"/>
      <c r="W53" s="183"/>
      <c r="X53" s="131">
        <v>66</v>
      </c>
      <c r="Y53" s="131">
        <v>5</v>
      </c>
      <c r="Z53" s="130">
        <v>22</v>
      </c>
      <c r="AA53" s="130">
        <v>22</v>
      </c>
      <c r="AB53" s="130">
        <v>36</v>
      </c>
      <c r="AC53" s="130">
        <v>15</v>
      </c>
      <c r="AD53" s="130">
        <v>7</v>
      </c>
      <c r="AE53" s="130">
        <v>6</v>
      </c>
      <c r="AF53" s="130">
        <v>10</v>
      </c>
      <c r="AG53" s="130"/>
      <c r="AH53" s="185">
        <v>1</v>
      </c>
      <c r="AI53" s="185">
        <v>5</v>
      </c>
      <c r="AJ53" s="185">
        <v>1</v>
      </c>
      <c r="AK53" s="185"/>
      <c r="AL53" s="185">
        <v>1</v>
      </c>
      <c r="AM53" s="185">
        <v>4</v>
      </c>
      <c r="AN53" s="184">
        <v>8</v>
      </c>
      <c r="AO53" s="185">
        <v>4</v>
      </c>
      <c r="AP53" s="185">
        <v>1</v>
      </c>
      <c r="AQ53" s="185">
        <v>2</v>
      </c>
      <c r="AR53" s="184">
        <v>3</v>
      </c>
      <c r="AS53" s="169">
        <f>4-1</f>
        <v>3</v>
      </c>
      <c r="AT53" s="185">
        <v>18</v>
      </c>
      <c r="AU53" s="169">
        <f>3-1</f>
        <v>2</v>
      </c>
      <c r="AV53" s="184">
        <v>11</v>
      </c>
      <c r="AW53" s="173">
        <f>4-1</f>
        <v>3</v>
      </c>
      <c r="AX53" s="141">
        <v>13</v>
      </c>
      <c r="AY53" s="154">
        <f t="shared" si="12"/>
        <v>264</v>
      </c>
      <c r="AZ53" s="185">
        <v>7</v>
      </c>
      <c r="BA53" s="131"/>
      <c r="BB53" s="131"/>
      <c r="BC53" s="130">
        <v>2</v>
      </c>
      <c r="BD53" s="130"/>
      <c r="BE53" s="130"/>
      <c r="BF53" s="130">
        <v>1</v>
      </c>
      <c r="BG53" s="130">
        <v>1</v>
      </c>
      <c r="BH53" s="130"/>
      <c r="BI53" s="130">
        <v>1</v>
      </c>
      <c r="BJ53" s="130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85"/>
      <c r="BV53" s="185"/>
      <c r="BW53" s="185"/>
      <c r="BX53" s="185"/>
      <c r="BY53" s="184">
        <v>1</v>
      </c>
      <c r="BZ53" s="185">
        <v>1</v>
      </c>
      <c r="CA53" s="184">
        <v>0</v>
      </c>
      <c r="CB53" s="154">
        <f t="shared" si="13"/>
        <v>7</v>
      </c>
      <c r="CC53" s="185">
        <v>1</v>
      </c>
      <c r="CD53" s="130">
        <f t="shared" si="22"/>
        <v>271</v>
      </c>
      <c r="CE53" s="130">
        <f t="shared" si="23"/>
        <v>8</v>
      </c>
      <c r="CF53" s="133">
        <f t="shared" si="24"/>
        <v>270</v>
      </c>
      <c r="CG53" s="134">
        <f t="shared" si="21"/>
        <v>8</v>
      </c>
      <c r="CH53" s="14">
        <v>974</v>
      </c>
      <c r="CI53" s="2" t="s">
        <v>102</v>
      </c>
      <c r="CJ53" s="22"/>
      <c r="CK53" s="183"/>
      <c r="CL53" s="16">
        <v>1</v>
      </c>
      <c r="CM53" s="16"/>
      <c r="CN53" s="17"/>
      <c r="CO53" s="17"/>
      <c r="CP53" s="17"/>
      <c r="CQ53" s="17"/>
      <c r="CR53" s="136"/>
      <c r="CS53" s="136"/>
      <c r="CT53" s="136"/>
      <c r="CU53" s="136"/>
      <c r="CV53" s="136"/>
      <c r="CW53" s="136"/>
      <c r="CX53" s="183"/>
      <c r="CY53" s="183"/>
      <c r="CZ53" s="183"/>
      <c r="DA53" s="183"/>
      <c r="DB53" s="183"/>
      <c r="DC53" s="183"/>
      <c r="DD53" s="183"/>
      <c r="DE53" s="18">
        <v>3</v>
      </c>
      <c r="DF53" s="18"/>
      <c r="DG53" s="19"/>
      <c r="DH53" s="19"/>
      <c r="DI53" s="19"/>
      <c r="DJ53" s="19">
        <v>2</v>
      </c>
      <c r="DK53" s="130">
        <v>2</v>
      </c>
      <c r="DL53" s="130"/>
      <c r="DM53" s="130">
        <v>7</v>
      </c>
      <c r="DN53" s="130"/>
      <c r="DO53" s="185">
        <v>1</v>
      </c>
      <c r="DP53" s="185"/>
      <c r="DQ53" s="185"/>
      <c r="DR53" s="185"/>
      <c r="DS53" s="185">
        <v>2</v>
      </c>
      <c r="DT53" s="185"/>
      <c r="DU53" s="185"/>
      <c r="DV53" s="185"/>
      <c r="DW53" s="185"/>
      <c r="DX53" s="185"/>
      <c r="DY53" s="185"/>
      <c r="DZ53" s="185"/>
      <c r="EA53" s="185"/>
      <c r="EB53" s="185"/>
      <c r="EC53" s="185"/>
      <c r="ED53" s="185"/>
      <c r="EE53" s="185">
        <v>0</v>
      </c>
      <c r="EF53" s="132">
        <f t="shared" si="19"/>
        <v>17</v>
      </c>
      <c r="EG53" s="185">
        <v>0</v>
      </c>
      <c r="EH53" s="131"/>
      <c r="EI53" s="131"/>
      <c r="EJ53" s="130"/>
      <c r="EK53" s="130"/>
      <c r="EL53" s="130"/>
      <c r="EM53" s="130"/>
      <c r="EN53" s="130"/>
      <c r="EO53" s="130"/>
      <c r="EP53" s="130"/>
      <c r="EQ53" s="130"/>
      <c r="ER53" s="185"/>
      <c r="ES53" s="185"/>
      <c r="ET53" s="185"/>
      <c r="EU53" s="185"/>
      <c r="EV53" s="185"/>
      <c r="EW53" s="185"/>
      <c r="EX53" s="185"/>
      <c r="EY53" s="185">
        <v>1</v>
      </c>
      <c r="EZ53" s="185"/>
      <c r="FA53" s="185"/>
      <c r="FB53" s="185"/>
      <c r="FC53" s="185"/>
      <c r="FD53" s="185"/>
      <c r="FE53" s="185"/>
      <c r="FF53" s="185"/>
      <c r="FG53" s="185"/>
      <c r="FH53" s="185"/>
      <c r="FI53" s="132">
        <f t="shared" si="14"/>
        <v>1</v>
      </c>
      <c r="FJ53" s="185">
        <v>0</v>
      </c>
      <c r="FK53" s="130">
        <f t="shared" si="25"/>
        <v>18</v>
      </c>
      <c r="FL53" s="130">
        <f t="shared" si="26"/>
        <v>0</v>
      </c>
      <c r="FM53" s="133">
        <f t="shared" si="27"/>
        <v>17</v>
      </c>
      <c r="FN53" s="134">
        <f t="shared" si="20"/>
        <v>1</v>
      </c>
      <c r="FO53" s="67"/>
      <c r="FP53" s="67"/>
    </row>
    <row r="54" spans="1:172" x14ac:dyDescent="0.25">
      <c r="A54" s="14">
        <v>50</v>
      </c>
      <c r="B54" s="2" t="s">
        <v>53</v>
      </c>
      <c r="C54" s="15"/>
      <c r="D54" s="183"/>
      <c r="E54" s="150">
        <v>187</v>
      </c>
      <c r="F54" s="150">
        <v>-1</v>
      </c>
      <c r="G54" s="136">
        <v>-2</v>
      </c>
      <c r="H54" s="136"/>
      <c r="I54" s="136"/>
      <c r="J54" s="136">
        <v>-3</v>
      </c>
      <c r="K54" s="136"/>
      <c r="L54" s="136"/>
      <c r="M54" s="136">
        <v>-5</v>
      </c>
      <c r="N54" s="136"/>
      <c r="O54" s="136"/>
      <c r="P54" s="136"/>
      <c r="Q54" s="183">
        <v>-2</v>
      </c>
      <c r="R54" s="183"/>
      <c r="S54" s="183"/>
      <c r="T54" s="183"/>
      <c r="U54" s="183">
        <v>-1</v>
      </c>
      <c r="V54" s="183"/>
      <c r="W54" s="183"/>
      <c r="X54" s="131">
        <v>187</v>
      </c>
      <c r="Y54" s="131">
        <v>5</v>
      </c>
      <c r="Z54" s="130">
        <v>27</v>
      </c>
      <c r="AA54" s="130">
        <v>8</v>
      </c>
      <c r="AB54" s="130">
        <v>8</v>
      </c>
      <c r="AC54" s="130">
        <v>30</v>
      </c>
      <c r="AD54" s="130">
        <v>19</v>
      </c>
      <c r="AE54" s="130">
        <v>4</v>
      </c>
      <c r="AF54" s="130">
        <v>71</v>
      </c>
      <c r="AG54" s="130">
        <v>12</v>
      </c>
      <c r="AH54" s="185">
        <v>77</v>
      </c>
      <c r="AI54" s="185">
        <v>4</v>
      </c>
      <c r="AJ54" s="185">
        <v>4</v>
      </c>
      <c r="AK54" s="185">
        <v>19</v>
      </c>
      <c r="AL54" s="185">
        <v>2</v>
      </c>
      <c r="AM54" s="185">
        <v>1</v>
      </c>
      <c r="AN54" s="184">
        <v>1</v>
      </c>
      <c r="AO54" s="185">
        <v>4</v>
      </c>
      <c r="AP54" s="185">
        <v>1</v>
      </c>
      <c r="AQ54" s="185"/>
      <c r="AR54" s="184">
        <v>1</v>
      </c>
      <c r="AS54" s="184">
        <v>1</v>
      </c>
      <c r="AT54" s="169">
        <f>51-2</f>
        <v>49</v>
      </c>
      <c r="AU54" s="169">
        <f>46-6</f>
        <v>40</v>
      </c>
      <c r="AV54" s="173">
        <f>48-5</f>
        <v>43</v>
      </c>
      <c r="AW54" s="228">
        <f>47-5-1</f>
        <v>41</v>
      </c>
      <c r="AX54" s="228">
        <f>12-8+1</f>
        <v>5</v>
      </c>
      <c r="AY54" s="224">
        <v>649</v>
      </c>
      <c r="AZ54" s="185">
        <v>11</v>
      </c>
      <c r="BA54" s="131">
        <v>3</v>
      </c>
      <c r="BB54" s="131">
        <v>1</v>
      </c>
      <c r="BC54" s="130">
        <v>2</v>
      </c>
      <c r="BD54" s="130">
        <v>-2</v>
      </c>
      <c r="BE54" s="130"/>
      <c r="BF54" s="130">
        <v>7</v>
      </c>
      <c r="BG54" s="130">
        <v>2</v>
      </c>
      <c r="BH54" s="130"/>
      <c r="BI54" s="130"/>
      <c r="BJ54" s="130"/>
      <c r="BK54" s="185">
        <v>6</v>
      </c>
      <c r="BL54" s="185"/>
      <c r="BM54" s="185"/>
      <c r="BN54" s="185"/>
      <c r="BO54" s="185"/>
      <c r="BP54" s="185"/>
      <c r="BQ54" s="185"/>
      <c r="BR54" s="185"/>
      <c r="BS54" s="185"/>
      <c r="BT54" s="185"/>
      <c r="BU54" s="185"/>
      <c r="BV54" s="185"/>
      <c r="BW54" s="185"/>
      <c r="BX54" s="185"/>
      <c r="BY54" s="184">
        <v>1</v>
      </c>
      <c r="BZ54" s="229">
        <v>1</v>
      </c>
      <c r="CA54" s="229">
        <f>1-2</f>
        <v>-1</v>
      </c>
      <c r="CB54" s="224">
        <v>21</v>
      </c>
      <c r="CC54" s="185">
        <v>1</v>
      </c>
      <c r="CD54" s="130">
        <f t="shared" si="22"/>
        <v>670</v>
      </c>
      <c r="CE54" s="130">
        <f t="shared" si="23"/>
        <v>12</v>
      </c>
      <c r="CF54" s="133">
        <f t="shared" si="24"/>
        <v>660</v>
      </c>
      <c r="CG54" s="134">
        <f t="shared" si="21"/>
        <v>22</v>
      </c>
      <c r="CH54" s="14">
        <v>978</v>
      </c>
      <c r="CI54" s="2" t="s">
        <v>217</v>
      </c>
      <c r="CJ54" s="22"/>
      <c r="CK54" s="183"/>
      <c r="CL54" s="16"/>
      <c r="CM54" s="16"/>
      <c r="CN54" s="17"/>
      <c r="CO54" s="17"/>
      <c r="CP54" s="17"/>
      <c r="CQ54" s="17"/>
      <c r="CR54" s="136"/>
      <c r="CS54" s="136"/>
      <c r="CT54" s="136"/>
      <c r="CU54" s="136"/>
      <c r="CV54" s="136"/>
      <c r="CW54" s="136"/>
      <c r="CX54" s="183"/>
      <c r="CY54" s="183"/>
      <c r="CZ54" s="183"/>
      <c r="DA54" s="183"/>
      <c r="DB54" s="183"/>
      <c r="DC54" s="183"/>
      <c r="DD54" s="183"/>
      <c r="DE54" s="18"/>
      <c r="DF54" s="18"/>
      <c r="DG54" s="19"/>
      <c r="DH54" s="19"/>
      <c r="DI54" s="19"/>
      <c r="DJ54" s="19"/>
      <c r="DK54" s="130"/>
      <c r="DL54" s="130"/>
      <c r="DM54" s="130"/>
      <c r="DN54" s="130"/>
      <c r="DO54" s="185"/>
      <c r="DP54" s="185"/>
      <c r="DQ54" s="185"/>
      <c r="DR54" s="185"/>
      <c r="DS54" s="185"/>
      <c r="DT54" s="185"/>
      <c r="DU54" s="185"/>
      <c r="DV54" s="185"/>
      <c r="DW54" s="185"/>
      <c r="DX54" s="185"/>
      <c r="DY54" s="185"/>
      <c r="DZ54" s="185"/>
      <c r="EA54" s="185"/>
      <c r="EB54" s="185">
        <v>1</v>
      </c>
      <c r="EC54" s="185"/>
      <c r="ED54" s="185"/>
      <c r="EE54" s="185">
        <v>0</v>
      </c>
      <c r="EF54" s="132">
        <f t="shared" si="19"/>
        <v>1</v>
      </c>
      <c r="EG54" s="185">
        <v>0</v>
      </c>
      <c r="EH54" s="131"/>
      <c r="EI54" s="131"/>
      <c r="EJ54" s="130"/>
      <c r="EK54" s="130"/>
      <c r="EL54" s="130"/>
      <c r="EM54" s="130"/>
      <c r="EN54" s="130"/>
      <c r="EO54" s="130"/>
      <c r="EP54" s="130"/>
      <c r="EQ54" s="130"/>
      <c r="ER54" s="185"/>
      <c r="ES54" s="185"/>
      <c r="ET54" s="185"/>
      <c r="EU54" s="185"/>
      <c r="EV54" s="185"/>
      <c r="EW54" s="185"/>
      <c r="EX54" s="185"/>
      <c r="EY54" s="185"/>
      <c r="EZ54" s="185"/>
      <c r="FA54" s="185"/>
      <c r="FB54" s="185"/>
      <c r="FC54" s="185"/>
      <c r="FD54" s="185"/>
      <c r="FE54" s="185"/>
      <c r="FF54" s="185"/>
      <c r="FG54" s="185"/>
      <c r="FH54" s="185"/>
      <c r="FI54" s="132">
        <f t="shared" si="14"/>
        <v>0</v>
      </c>
      <c r="FJ54" s="185">
        <v>0</v>
      </c>
      <c r="FK54" s="130">
        <f t="shared" si="25"/>
        <v>1</v>
      </c>
      <c r="FL54" s="130">
        <f t="shared" si="26"/>
        <v>0</v>
      </c>
      <c r="FM54" s="133">
        <f t="shared" si="27"/>
        <v>1</v>
      </c>
      <c r="FN54" s="134">
        <f t="shared" si="20"/>
        <v>0</v>
      </c>
      <c r="FO54" s="67"/>
      <c r="FP54" s="67"/>
    </row>
    <row r="55" spans="1:172" x14ac:dyDescent="0.25">
      <c r="A55" s="14"/>
      <c r="D55" s="206"/>
      <c r="E55" s="207"/>
      <c r="F55" s="20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206"/>
      <c r="R55" s="206"/>
      <c r="S55" s="206"/>
      <c r="T55" s="206"/>
      <c r="U55" s="206"/>
      <c r="V55" s="206"/>
      <c r="W55" s="206"/>
      <c r="X55" s="208"/>
      <c r="Y55" s="208"/>
      <c r="Z55" s="209"/>
      <c r="AA55" s="209"/>
      <c r="AB55" s="209"/>
      <c r="AC55" s="209"/>
      <c r="AD55" s="209"/>
      <c r="AE55" s="209"/>
      <c r="AF55" s="209"/>
      <c r="AG55" s="209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1"/>
      <c r="AZ55" s="210"/>
      <c r="BA55" s="208"/>
      <c r="BB55" s="208"/>
      <c r="BC55" s="209"/>
      <c r="BD55" s="209"/>
      <c r="BE55" s="209"/>
      <c r="BF55" s="209"/>
      <c r="BG55" s="209"/>
      <c r="BH55" s="209"/>
      <c r="BI55" s="209"/>
      <c r="BJ55" s="209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1"/>
      <c r="CC55" s="210"/>
      <c r="CD55" s="209"/>
      <c r="CE55" s="209"/>
      <c r="CF55" s="212"/>
      <c r="CG55" s="21"/>
      <c r="CH55" s="14">
        <v>987</v>
      </c>
      <c r="CI55" s="2" t="s">
        <v>218</v>
      </c>
      <c r="CJ55" s="22"/>
      <c r="CK55" s="186"/>
      <c r="CL55" s="16"/>
      <c r="CM55" s="16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86"/>
      <c r="CY55" s="186"/>
      <c r="CZ55" s="186"/>
      <c r="DA55" s="186"/>
      <c r="DB55" s="186"/>
      <c r="DC55" s="186"/>
      <c r="DD55" s="186"/>
      <c r="DE55" s="18"/>
      <c r="DF55" s="18"/>
      <c r="DG55" s="19"/>
      <c r="DH55" s="19"/>
      <c r="DI55" s="19"/>
      <c r="DJ55" s="19"/>
      <c r="DK55" s="19"/>
      <c r="DL55" s="19"/>
      <c r="DM55" s="19"/>
      <c r="DN55" s="19"/>
      <c r="DO55" s="187"/>
      <c r="DP55" s="187"/>
      <c r="DQ55" s="187"/>
      <c r="DR55" s="187"/>
      <c r="DS55" s="187"/>
      <c r="DT55" s="187"/>
      <c r="DU55" s="187"/>
      <c r="DV55" s="187"/>
      <c r="DW55" s="187"/>
      <c r="DX55" s="187"/>
      <c r="DY55" s="187"/>
      <c r="DZ55" s="187"/>
      <c r="EA55" s="187"/>
      <c r="EB55" s="185">
        <v>1</v>
      </c>
      <c r="EC55" s="185"/>
      <c r="ED55" s="187"/>
      <c r="EE55" s="187">
        <v>0</v>
      </c>
      <c r="EF55" s="132">
        <f t="shared" si="19"/>
        <v>1</v>
      </c>
      <c r="EG55" s="187">
        <v>0</v>
      </c>
      <c r="EH55" s="18"/>
      <c r="EI55" s="18"/>
      <c r="EJ55" s="19"/>
      <c r="EK55" s="19"/>
      <c r="EL55" s="19"/>
      <c r="EM55" s="19"/>
      <c r="EN55" s="19"/>
      <c r="EO55" s="19"/>
      <c r="EP55" s="19"/>
      <c r="EQ55" s="19"/>
      <c r="ER55" s="187"/>
      <c r="ES55" s="187"/>
      <c r="ET55" s="187"/>
      <c r="EU55" s="187"/>
      <c r="EV55" s="187"/>
      <c r="EW55" s="185"/>
      <c r="EX55" s="185"/>
      <c r="EY55" s="185"/>
      <c r="EZ55" s="185"/>
      <c r="FA55" s="185"/>
      <c r="FB55" s="185"/>
      <c r="FC55" s="185"/>
      <c r="FD55" s="185"/>
      <c r="FE55" s="185"/>
      <c r="FF55" s="185"/>
      <c r="FG55" s="185"/>
      <c r="FH55" s="185"/>
      <c r="FI55" s="132">
        <f>SUM(EH55:FH55)</f>
        <v>0</v>
      </c>
      <c r="FJ55" s="185">
        <v>0</v>
      </c>
      <c r="FK55" s="19">
        <f t="shared" si="25"/>
        <v>1</v>
      </c>
      <c r="FL55" s="19">
        <f t="shared" si="26"/>
        <v>0</v>
      </c>
      <c r="FM55" s="20">
        <f t="shared" si="27"/>
        <v>1</v>
      </c>
      <c r="FN55" s="21">
        <f>+FI55+FJ55</f>
        <v>0</v>
      </c>
      <c r="FO55" s="67"/>
      <c r="FP55" s="67"/>
    </row>
    <row r="56" spans="1:172" ht="13.8" x14ac:dyDescent="0.25">
      <c r="A56" s="24"/>
      <c r="B56" s="11"/>
      <c r="C56" s="91" t="s">
        <v>105</v>
      </c>
      <c r="D56" s="161">
        <f>SUM(D4:D55)</f>
        <v>-46</v>
      </c>
      <c r="E56" s="166">
        <f t="shared" ref="E56:BA56" si="28">SUM(E4:E55)</f>
        <v>5375</v>
      </c>
      <c r="F56" s="166">
        <f t="shared" si="28"/>
        <v>-33</v>
      </c>
      <c r="G56" s="160">
        <f t="shared" si="28"/>
        <v>-47</v>
      </c>
      <c r="H56" s="160">
        <f t="shared" si="28"/>
        <v>-40</v>
      </c>
      <c r="I56" s="160">
        <f t="shared" si="28"/>
        <v>-46</v>
      </c>
      <c r="J56" s="161">
        <f t="shared" si="28"/>
        <v>-53</v>
      </c>
      <c r="K56" s="161">
        <f t="shared" si="28"/>
        <v>-57</v>
      </c>
      <c r="L56" s="161">
        <f t="shared" si="28"/>
        <v>-40</v>
      </c>
      <c r="M56" s="161">
        <f t="shared" si="28"/>
        <v>-45</v>
      </c>
      <c r="N56" s="160">
        <f t="shared" si="28"/>
        <v>-47</v>
      </c>
      <c r="O56" s="160">
        <f t="shared" si="28"/>
        <v>-56</v>
      </c>
      <c r="P56" s="160">
        <f t="shared" si="28"/>
        <v>-35</v>
      </c>
      <c r="Q56" s="160">
        <f t="shared" si="28"/>
        <v>-53</v>
      </c>
      <c r="R56" s="160">
        <f t="shared" si="28"/>
        <v>-69</v>
      </c>
      <c r="S56" s="160">
        <f t="shared" si="28"/>
        <v>-70</v>
      </c>
      <c r="T56" s="160">
        <f>SUM(T4:T55)</f>
        <v>-82</v>
      </c>
      <c r="U56" s="160">
        <f>SUM(U4:U55)</f>
        <v>-37</v>
      </c>
      <c r="V56" s="160">
        <f>SUM(V4:V55)</f>
        <v>-16</v>
      </c>
      <c r="W56" s="160">
        <f>SUM(W4:W55)</f>
        <v>-36</v>
      </c>
      <c r="X56" s="161">
        <f t="shared" si="28"/>
        <v>5644</v>
      </c>
      <c r="Y56" s="161">
        <f t="shared" si="28"/>
        <v>544</v>
      </c>
      <c r="Z56" s="161">
        <f t="shared" si="28"/>
        <v>614</v>
      </c>
      <c r="AA56" s="161">
        <f t="shared" si="28"/>
        <v>641</v>
      </c>
      <c r="AB56" s="161">
        <f t="shared" si="28"/>
        <v>912</v>
      </c>
      <c r="AC56" s="161">
        <f t="shared" si="28"/>
        <v>822</v>
      </c>
      <c r="AD56" s="161">
        <f t="shared" si="28"/>
        <v>919</v>
      </c>
      <c r="AE56" s="161">
        <f t="shared" si="28"/>
        <v>724</v>
      </c>
      <c r="AF56" s="161">
        <f t="shared" si="28"/>
        <v>686</v>
      </c>
      <c r="AG56" s="161">
        <f t="shared" si="28"/>
        <v>602</v>
      </c>
      <c r="AH56" s="161">
        <f t="shared" si="28"/>
        <v>769</v>
      </c>
      <c r="AI56" s="161">
        <f t="shared" si="28"/>
        <v>588</v>
      </c>
      <c r="AJ56" s="161">
        <f t="shared" si="28"/>
        <v>763</v>
      </c>
      <c r="AK56" s="161">
        <f t="shared" si="28"/>
        <v>889</v>
      </c>
      <c r="AL56" s="161">
        <f t="shared" si="28"/>
        <v>886</v>
      </c>
      <c r="AM56" s="161">
        <f>SUM(AM4:AM55)</f>
        <v>474</v>
      </c>
      <c r="AN56" s="161">
        <f>SUM(AN4:AN55)</f>
        <v>360</v>
      </c>
      <c r="AO56" s="161">
        <f>SUM(AO4:AO55)</f>
        <v>268</v>
      </c>
      <c r="AP56" s="161">
        <f>SUM(AP4:AP55)</f>
        <v>253</v>
      </c>
      <c r="AQ56" s="161">
        <f>SUM(AQ4:AQ55)</f>
        <v>345</v>
      </c>
      <c r="AR56" s="161">
        <f t="shared" ref="AR56:AS56" si="29">SUM(AR4:AR55)</f>
        <v>284</v>
      </c>
      <c r="AS56" s="161">
        <f t="shared" si="29"/>
        <v>285</v>
      </c>
      <c r="AT56" s="161">
        <f t="shared" ref="AT56:AU56" si="30">SUM(AT4:AT55)</f>
        <v>330</v>
      </c>
      <c r="AU56" s="161">
        <f t="shared" si="30"/>
        <v>364</v>
      </c>
      <c r="AV56" s="161">
        <f t="shared" ref="AV56" si="31">SUM(AV4:AV55)</f>
        <v>211</v>
      </c>
      <c r="AW56" s="161">
        <f>SUM(AW4:AW55)</f>
        <v>176</v>
      </c>
      <c r="AX56" s="161">
        <f t="shared" ref="AX56" si="32">SUM(AX4:AX55)</f>
        <v>237</v>
      </c>
      <c r="AY56" s="161">
        <f>SUM(AY4:AY55)</f>
        <v>18729</v>
      </c>
      <c r="AZ56" s="161">
        <f t="shared" si="28"/>
        <v>331</v>
      </c>
      <c r="BA56" s="161">
        <f t="shared" si="28"/>
        <v>202</v>
      </c>
      <c r="BB56" s="161">
        <f t="shared" ref="BB56:CG56" si="33">SUM(BB4:BB55)</f>
        <v>15</v>
      </c>
      <c r="BC56" s="161">
        <f t="shared" si="33"/>
        <v>51</v>
      </c>
      <c r="BD56" s="161">
        <f t="shared" si="33"/>
        <v>-63</v>
      </c>
      <c r="BE56" s="161">
        <f t="shared" si="33"/>
        <v>41</v>
      </c>
      <c r="BF56" s="161">
        <f t="shared" si="33"/>
        <v>64</v>
      </c>
      <c r="BG56" s="161">
        <f t="shared" si="33"/>
        <v>46</v>
      </c>
      <c r="BH56" s="161">
        <f t="shared" si="33"/>
        <v>70</v>
      </c>
      <c r="BI56" s="161">
        <f t="shared" si="33"/>
        <v>63</v>
      </c>
      <c r="BJ56" s="161">
        <f t="shared" si="33"/>
        <v>38</v>
      </c>
      <c r="BK56" s="161">
        <f t="shared" si="33"/>
        <v>46</v>
      </c>
      <c r="BL56" s="161">
        <f t="shared" si="33"/>
        <v>32</v>
      </c>
      <c r="BM56" s="161">
        <f t="shared" si="33"/>
        <v>49</v>
      </c>
      <c r="BN56" s="161">
        <f t="shared" si="33"/>
        <v>16</v>
      </c>
      <c r="BO56" s="161">
        <f t="shared" ref="BO56:BX56" si="34">SUM(BO4:BO55)</f>
        <v>25</v>
      </c>
      <c r="BP56" s="161">
        <f t="shared" si="34"/>
        <v>43</v>
      </c>
      <c r="BQ56" s="161">
        <f t="shared" si="34"/>
        <v>13</v>
      </c>
      <c r="BR56" s="161">
        <f t="shared" si="34"/>
        <v>25</v>
      </c>
      <c r="BS56" s="161">
        <f t="shared" si="34"/>
        <v>14</v>
      </c>
      <c r="BT56" s="161">
        <f t="shared" si="34"/>
        <v>13</v>
      </c>
      <c r="BU56" s="161">
        <f t="shared" ref="BU56" si="35">SUM(BU4:BU55)</f>
        <v>29</v>
      </c>
      <c r="BV56" s="161">
        <f t="shared" si="34"/>
        <v>19</v>
      </c>
      <c r="BW56" s="161">
        <f t="shared" ref="BW56" si="36">SUM(BW4:BW55)</f>
        <v>10</v>
      </c>
      <c r="BX56" s="161">
        <f t="shared" si="34"/>
        <v>42</v>
      </c>
      <c r="BY56" s="161">
        <f t="shared" ref="BY56:CA56" si="37">SUM(BY4:BY55)</f>
        <v>9</v>
      </c>
      <c r="BZ56" s="161">
        <f t="shared" si="37"/>
        <v>27</v>
      </c>
      <c r="CA56" s="161">
        <f t="shared" si="37"/>
        <v>6</v>
      </c>
      <c r="CB56" s="161">
        <f t="shared" si="33"/>
        <v>944</v>
      </c>
      <c r="CC56" s="161">
        <f t="shared" si="33"/>
        <v>34</v>
      </c>
      <c r="CD56" s="162">
        <f t="shared" si="33"/>
        <v>19673</v>
      </c>
      <c r="CE56" s="162">
        <f t="shared" si="33"/>
        <v>365</v>
      </c>
      <c r="CF56" s="160">
        <f t="shared" si="33"/>
        <v>19014</v>
      </c>
      <c r="CG56" s="213">
        <f t="shared" si="33"/>
        <v>978</v>
      </c>
      <c r="CH56" s="25"/>
      <c r="CI56" s="25"/>
      <c r="CJ56" s="91" t="s">
        <v>103</v>
      </c>
      <c r="CK56" s="161">
        <f t="shared" ref="CK56:EH56" si="38">SUM(CK4:CK55)</f>
        <v>-94</v>
      </c>
      <c r="CL56" s="160">
        <f t="shared" si="38"/>
        <v>9463</v>
      </c>
      <c r="CM56" s="161">
        <f t="shared" si="38"/>
        <v>-62</v>
      </c>
      <c r="CN56" s="161">
        <f t="shared" si="38"/>
        <v>-70</v>
      </c>
      <c r="CO56" s="160">
        <f t="shared" si="38"/>
        <v>-110</v>
      </c>
      <c r="CP56" s="160">
        <f t="shared" si="38"/>
        <v>-84</v>
      </c>
      <c r="CQ56" s="160">
        <f t="shared" si="38"/>
        <v>-90</v>
      </c>
      <c r="CR56" s="160">
        <f t="shared" si="38"/>
        <v>-99</v>
      </c>
      <c r="CS56" s="160">
        <f t="shared" si="38"/>
        <v>-75</v>
      </c>
      <c r="CT56" s="160">
        <f t="shared" si="38"/>
        <v>-65</v>
      </c>
      <c r="CU56" s="160">
        <f t="shared" si="38"/>
        <v>-81</v>
      </c>
      <c r="CV56" s="160">
        <f t="shared" si="38"/>
        <v>-87</v>
      </c>
      <c r="CW56" s="160">
        <f t="shared" si="38"/>
        <v>-78</v>
      </c>
      <c r="CX56" s="160">
        <f t="shared" si="38"/>
        <v>-79</v>
      </c>
      <c r="CY56" s="160">
        <f t="shared" si="38"/>
        <v>-100</v>
      </c>
      <c r="CZ56" s="160">
        <f>SUM(CZ4:CZ55)</f>
        <v>-114</v>
      </c>
      <c r="DA56" s="160">
        <f>SUM(DA4:DA55)</f>
        <v>-113</v>
      </c>
      <c r="DB56" s="160">
        <f>SUM(DB4:DB55)</f>
        <v>-76</v>
      </c>
      <c r="DC56" s="160">
        <f>SUM(DC4:DC55)</f>
        <v>-32</v>
      </c>
      <c r="DD56" s="160">
        <f>SUM(DD4:DD55)</f>
        <v>-50</v>
      </c>
      <c r="DE56" s="161">
        <f t="shared" si="38"/>
        <v>9882</v>
      </c>
      <c r="DF56" s="160">
        <f t="shared" si="38"/>
        <v>781</v>
      </c>
      <c r="DG56" s="161">
        <f t="shared" si="38"/>
        <v>955</v>
      </c>
      <c r="DH56" s="161">
        <f t="shared" si="38"/>
        <v>1451</v>
      </c>
      <c r="DI56" s="160">
        <f t="shared" si="38"/>
        <v>1555</v>
      </c>
      <c r="DJ56" s="160">
        <f t="shared" si="38"/>
        <v>1526</v>
      </c>
      <c r="DK56" s="161">
        <f t="shared" si="38"/>
        <v>1495</v>
      </c>
      <c r="DL56" s="161">
        <f t="shared" si="38"/>
        <v>1476</v>
      </c>
      <c r="DM56" s="161">
        <f t="shared" si="38"/>
        <v>1217</v>
      </c>
      <c r="DN56" s="161">
        <f t="shared" si="38"/>
        <v>1066</v>
      </c>
      <c r="DO56" s="161">
        <f t="shared" si="38"/>
        <v>1178</v>
      </c>
      <c r="DP56" s="161">
        <f t="shared" si="38"/>
        <v>1014</v>
      </c>
      <c r="DQ56" s="161">
        <f t="shared" si="38"/>
        <v>1393</v>
      </c>
      <c r="DR56" s="161">
        <f t="shared" si="38"/>
        <v>1375</v>
      </c>
      <c r="DS56" s="161">
        <f t="shared" ref="DS56:EB56" si="39">SUM(DS4:DS55)</f>
        <v>1383</v>
      </c>
      <c r="DT56" s="161">
        <f t="shared" si="39"/>
        <v>848</v>
      </c>
      <c r="DU56" s="161">
        <f t="shared" si="39"/>
        <v>539</v>
      </c>
      <c r="DV56" s="161">
        <f t="shared" si="39"/>
        <v>468</v>
      </c>
      <c r="DW56" s="161">
        <f t="shared" si="39"/>
        <v>454</v>
      </c>
      <c r="DX56" s="161">
        <f t="shared" si="39"/>
        <v>574</v>
      </c>
      <c r="DY56" s="161">
        <f t="shared" ref="DY56" si="40">SUM(DY4:DY55)</f>
        <v>511</v>
      </c>
      <c r="DZ56" s="161">
        <f t="shared" si="39"/>
        <v>502</v>
      </c>
      <c r="EA56" s="161">
        <f t="shared" ref="EA56" si="41">SUM(EA4:EA55)</f>
        <v>433</v>
      </c>
      <c r="EB56" s="161">
        <f t="shared" si="39"/>
        <v>582</v>
      </c>
      <c r="EC56" s="161">
        <v>325</v>
      </c>
      <c r="ED56" s="161">
        <f t="shared" ref="ED56:EE56" si="42">SUM(ED4:ED55)</f>
        <v>313</v>
      </c>
      <c r="EE56" s="161">
        <f t="shared" si="42"/>
        <v>413</v>
      </c>
      <c r="EF56" s="161">
        <f t="shared" si="38"/>
        <v>32246</v>
      </c>
      <c r="EG56" s="161">
        <f t="shared" si="38"/>
        <v>468</v>
      </c>
      <c r="EH56" s="160">
        <f t="shared" si="38"/>
        <v>323</v>
      </c>
      <c r="EI56" s="160">
        <f t="shared" ref="EI56:FN56" si="43">SUM(EI4:EI55)</f>
        <v>28</v>
      </c>
      <c r="EJ56" s="160">
        <f t="shared" si="43"/>
        <v>119</v>
      </c>
      <c r="EK56" s="161">
        <f t="shared" si="43"/>
        <v>-83</v>
      </c>
      <c r="EL56" s="162">
        <f t="shared" si="43"/>
        <v>68</v>
      </c>
      <c r="EM56" s="162">
        <f t="shared" si="43"/>
        <v>86</v>
      </c>
      <c r="EN56" s="162">
        <f t="shared" si="43"/>
        <v>91</v>
      </c>
      <c r="EO56" s="161">
        <f t="shared" si="43"/>
        <v>156</v>
      </c>
      <c r="EP56" s="161">
        <f t="shared" si="43"/>
        <v>85</v>
      </c>
      <c r="EQ56" s="161">
        <f t="shared" si="43"/>
        <v>78</v>
      </c>
      <c r="ER56" s="161">
        <f t="shared" si="43"/>
        <v>89</v>
      </c>
      <c r="ES56" s="161">
        <f t="shared" si="43"/>
        <v>91</v>
      </c>
      <c r="ET56" s="161">
        <f t="shared" si="43"/>
        <v>86</v>
      </c>
      <c r="EU56" s="161">
        <f t="shared" si="43"/>
        <v>47</v>
      </c>
      <c r="EV56" s="161">
        <f t="shared" ref="EV56:FH56" si="44">SUM(EV4:EV55)</f>
        <v>37</v>
      </c>
      <c r="EW56" s="161">
        <f t="shared" si="44"/>
        <v>77</v>
      </c>
      <c r="EX56" s="161">
        <f t="shared" si="44"/>
        <v>16</v>
      </c>
      <c r="EY56" s="161">
        <f t="shared" si="44"/>
        <v>44</v>
      </c>
      <c r="EZ56" s="161">
        <f t="shared" si="44"/>
        <v>21</v>
      </c>
      <c r="FA56" s="161">
        <f t="shared" si="44"/>
        <v>17</v>
      </c>
      <c r="FB56" s="161">
        <f t="shared" ref="FB56" si="45">SUM(FB4:FB55)</f>
        <v>46</v>
      </c>
      <c r="FC56" s="161">
        <f t="shared" si="44"/>
        <v>21</v>
      </c>
      <c r="FD56" s="161">
        <f t="shared" ref="FD56" si="46">SUM(FD4:FD55)</f>
        <v>14</v>
      </c>
      <c r="FE56" s="161">
        <f t="shared" si="44"/>
        <v>39</v>
      </c>
      <c r="FF56" s="161">
        <f t="shared" si="44"/>
        <v>10</v>
      </c>
      <c r="FG56" s="161">
        <f t="shared" si="44"/>
        <v>60</v>
      </c>
      <c r="FH56" s="161">
        <f t="shared" si="44"/>
        <v>15</v>
      </c>
      <c r="FI56" s="164">
        <f t="shared" si="43"/>
        <v>1679</v>
      </c>
      <c r="FJ56" s="161">
        <f t="shared" si="43"/>
        <v>44</v>
      </c>
      <c r="FK56" s="165">
        <f t="shared" si="43"/>
        <v>33925</v>
      </c>
      <c r="FL56" s="165">
        <f t="shared" si="43"/>
        <v>512</v>
      </c>
      <c r="FM56" s="163">
        <f t="shared" si="43"/>
        <v>32620</v>
      </c>
      <c r="FN56" s="188">
        <f t="shared" si="43"/>
        <v>1723</v>
      </c>
    </row>
    <row r="57" spans="1:172" ht="6.75" customHeight="1" thickBot="1" x14ac:dyDescent="0.3">
      <c r="A57" s="28"/>
      <c r="B57" s="26"/>
      <c r="C57" s="9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5"/>
      <c r="Y57" s="144"/>
      <c r="Z57" s="144"/>
      <c r="AA57" s="144"/>
      <c r="AB57" s="144"/>
      <c r="AC57" s="144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4"/>
      <c r="AZ57" s="145"/>
      <c r="BA57" s="144"/>
      <c r="BB57" s="144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  <c r="BT57" s="144"/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  <c r="CE57" s="147"/>
      <c r="CF57" s="148"/>
      <c r="CG57" s="149"/>
      <c r="CH57" s="27"/>
      <c r="CI57" s="27"/>
      <c r="CJ57" s="143"/>
      <c r="CK57" s="144"/>
      <c r="CL57" s="144"/>
      <c r="CM57" s="144"/>
      <c r="CN57" s="145"/>
      <c r="CO57" s="144"/>
      <c r="CP57" s="144"/>
      <c r="CQ57" s="144"/>
      <c r="CR57" s="144"/>
      <c r="CS57" s="144"/>
      <c r="CT57" s="144"/>
      <c r="CU57" s="144"/>
      <c r="CV57" s="144"/>
      <c r="CW57" s="144"/>
      <c r="CX57" s="144"/>
      <c r="CY57" s="144"/>
      <c r="CZ57" s="144"/>
      <c r="DA57" s="144"/>
      <c r="DB57" s="144"/>
      <c r="DC57" s="144"/>
      <c r="DD57" s="144"/>
      <c r="DE57" s="145"/>
      <c r="DF57" s="144"/>
      <c r="DG57" s="144"/>
      <c r="DH57" s="145"/>
      <c r="DI57" s="144"/>
      <c r="DJ57" s="144"/>
      <c r="DK57" s="144"/>
      <c r="DL57" s="144"/>
      <c r="DM57" s="144"/>
      <c r="DN57" s="144"/>
      <c r="DO57" s="144"/>
      <c r="DP57" s="144"/>
      <c r="DQ57" s="144"/>
      <c r="DR57" s="144"/>
      <c r="DS57" s="144"/>
      <c r="DT57" s="144"/>
      <c r="DU57" s="144"/>
      <c r="DV57" s="144"/>
      <c r="DW57" s="144"/>
      <c r="DX57" s="144"/>
      <c r="DY57" s="144"/>
      <c r="DZ57" s="144"/>
      <c r="EA57" s="144"/>
      <c r="EB57" s="144"/>
      <c r="EC57" s="144"/>
      <c r="ED57" s="144"/>
      <c r="EE57" s="144"/>
      <c r="EF57" s="144"/>
      <c r="EG57" s="144"/>
      <c r="EH57" s="144"/>
      <c r="EI57" s="144"/>
      <c r="EJ57" s="144"/>
      <c r="EK57" s="144"/>
      <c r="EL57" s="144"/>
      <c r="EM57" s="144"/>
      <c r="EN57" s="144"/>
      <c r="EO57" s="146"/>
      <c r="EP57" s="146"/>
      <c r="EQ57" s="146"/>
      <c r="ER57" s="146"/>
      <c r="ES57" s="146"/>
      <c r="ET57" s="146"/>
      <c r="EU57" s="146"/>
      <c r="EV57" s="146"/>
      <c r="EW57" s="218"/>
      <c r="EX57" s="218"/>
      <c r="EY57" s="146"/>
      <c r="EZ57" s="146"/>
      <c r="FA57" s="146"/>
      <c r="FB57" s="146"/>
      <c r="FC57" s="146"/>
      <c r="FD57" s="146"/>
      <c r="FE57" s="146"/>
      <c r="FF57" s="146"/>
      <c r="FG57" s="146"/>
      <c r="FH57" s="146"/>
      <c r="FI57" s="146"/>
      <c r="FJ57" s="146"/>
      <c r="FK57" s="146"/>
      <c r="FL57" s="146"/>
      <c r="FM57" s="146"/>
      <c r="FN57" s="77"/>
    </row>
    <row r="59" spans="1:172" x14ac:dyDescent="0.25">
      <c r="A59" s="223"/>
      <c r="B59" s="2" t="s">
        <v>176</v>
      </c>
    </row>
  </sheetData>
  <autoFilter ref="A3:FO54" xr:uid="{00000000-0009-0000-0000-000001000000}"/>
  <mergeCells count="4">
    <mergeCell ref="DE2:EG2"/>
    <mergeCell ref="EH2:FJ2"/>
    <mergeCell ref="X2:AZ2"/>
    <mergeCell ref="BA2:CC2"/>
  </mergeCells>
  <phoneticPr fontId="5" type="noConversion"/>
  <printOptions horizontalCentered="1" verticalCentered="1"/>
  <pageMargins left="0" right="0" top="0.31496062992125984" bottom="0.23622047244094491" header="0.19685039370078741" footer="0.11811023622047245"/>
  <pageSetup paperSize="9" scale="75" orientation="portrait" horizontalDpi="300" verticalDpi="300" r:id="rId1"/>
  <headerFooter alignWithMargins="0">
    <oddHeader>&amp;C&amp;"Book Antiqua,Normal"&amp;14&amp;EFICHIERS CADRANS SOLAIRES FRANÇAIS
2023</oddHeader>
    <oddFooter>&amp;L&amp;8Ajustement = Disparus, doublons ou restaurés&amp;R&amp;9&amp;D - S.GREGORI (01 39 74 49 29)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H105"/>
  <sheetViews>
    <sheetView workbookViewId="0">
      <pane xSplit="3" ySplit="3" topLeftCell="D89" activePane="bottomRight" state="frozen"/>
      <selection pane="topRight" activeCell="D1" sqref="D1"/>
      <selection pane="bottomLeft" activeCell="A4" sqref="A4"/>
      <selection pane="bottomRight" activeCell="A89" sqref="A89:B105"/>
    </sheetView>
  </sheetViews>
  <sheetFormatPr baseColWidth="10" defaultRowHeight="13.2" outlineLevelCol="1" x14ac:dyDescent="0.25"/>
  <cols>
    <col min="1" max="1" width="4.109375" style="1" customWidth="1"/>
    <col min="2" max="2" width="11.44140625" style="2" customWidth="1"/>
    <col min="3" max="3" width="10.109375" style="2" customWidth="1"/>
    <col min="4" max="4" width="4.44140625" style="3" customWidth="1"/>
    <col min="5" max="5" width="5" style="3" hidden="1" customWidth="1" outlineLevel="1"/>
    <col min="6" max="17" width="4.44140625" style="3" hidden="1" customWidth="1" outlineLevel="1"/>
    <col min="18" max="19" width="4.44140625" style="3" hidden="1" customWidth="1" outlineLevel="1" collapsed="1"/>
    <col min="20" max="21" width="4.44140625" style="101" hidden="1" customWidth="1" outlineLevel="1"/>
    <col min="22" max="24" width="4.44140625" style="3" hidden="1" customWidth="1" outlineLevel="1"/>
    <col min="25" max="25" width="4.44140625" style="3" hidden="1" customWidth="1" outlineLevel="1" collapsed="1"/>
    <col min="26" max="26" width="4.44140625" style="3" hidden="1" customWidth="1" outlineLevel="1"/>
    <col min="27" max="34" width="4.44140625" style="101" hidden="1" customWidth="1" outlineLevel="1"/>
    <col min="35" max="35" width="6.5546875" style="101" hidden="1" customWidth="1" outlineLevel="1"/>
    <col min="36" max="36" width="6.5546875" style="3" hidden="1" customWidth="1" outlineLevel="1"/>
    <col min="37" max="37" width="6.5546875" style="101" hidden="1" customWidth="1" outlineLevel="1"/>
    <col min="38" max="38" width="4.44140625" style="3" customWidth="1" collapsed="1"/>
    <col min="39" max="39" width="4.44140625" style="3" customWidth="1"/>
    <col min="40" max="44" width="4.44140625" style="3" hidden="1" customWidth="1" outlineLevel="1"/>
    <col min="45" max="47" width="4.44140625" style="3" hidden="1" customWidth="1" outlineLevel="1" collapsed="1"/>
    <col min="48" max="49" width="4.44140625" style="3" hidden="1" customWidth="1" outlineLevel="1"/>
    <col min="50" max="50" width="4.44140625" style="3" hidden="1" customWidth="1" outlineLevel="1" collapsed="1"/>
    <col min="51" max="55" width="4.44140625" style="3" hidden="1" customWidth="1" outlineLevel="1"/>
    <col min="56" max="56" width="6.5546875" style="3" hidden="1" customWidth="1" outlineLevel="1"/>
    <col min="57" max="57" width="4.44140625" hidden="1" customWidth="1" outlineLevel="1" collapsed="1"/>
    <col min="58" max="58" width="6.5546875" style="2" hidden="1" customWidth="1" outlineLevel="1"/>
    <col min="59" max="59" width="4.44140625" hidden="1" customWidth="1" outlineLevel="1"/>
    <col min="60" max="82" width="0" hidden="1" customWidth="1" outlineLevel="1"/>
    <col min="83" max="83" width="11.5546875" collapsed="1"/>
  </cols>
  <sheetData>
    <row r="1" spans="1:86" ht="13.8" thickBot="1" x14ac:dyDescent="0.3">
      <c r="T1" s="3"/>
      <c r="U1" s="3"/>
      <c r="W1" s="101"/>
      <c r="AA1" s="3"/>
      <c r="AB1" s="3"/>
      <c r="AC1" s="3"/>
      <c r="AD1" s="3"/>
      <c r="AE1" s="3"/>
      <c r="AF1" s="3"/>
      <c r="AG1" s="3"/>
      <c r="AH1" s="3"/>
      <c r="AI1" s="3"/>
      <c r="AK1" s="3"/>
      <c r="AP1" s="101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6" ht="13.8" thickBot="1" x14ac:dyDescent="0.3">
      <c r="D2" s="142"/>
      <c r="E2" s="2"/>
      <c r="F2" s="34">
        <v>97</v>
      </c>
      <c r="G2" s="34">
        <v>98</v>
      </c>
      <c r="H2" s="34">
        <v>99</v>
      </c>
      <c r="I2" s="127">
        <v>0</v>
      </c>
      <c r="J2" s="127">
        <v>1</v>
      </c>
      <c r="K2" s="127">
        <v>2</v>
      </c>
      <c r="L2" s="127">
        <v>3</v>
      </c>
      <c r="M2" s="127">
        <v>4</v>
      </c>
      <c r="N2" s="127">
        <v>5</v>
      </c>
      <c r="O2" s="127">
        <v>6</v>
      </c>
      <c r="P2" s="127">
        <v>7</v>
      </c>
      <c r="Q2" s="127">
        <v>8</v>
      </c>
      <c r="R2" s="127">
        <v>9</v>
      </c>
      <c r="S2" s="127">
        <v>10</v>
      </c>
      <c r="T2" s="127">
        <v>11</v>
      </c>
      <c r="U2" s="127">
        <v>12</v>
      </c>
      <c r="V2" s="127">
        <v>13</v>
      </c>
      <c r="W2" s="127">
        <v>14</v>
      </c>
      <c r="X2" s="243" t="s">
        <v>0</v>
      </c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7"/>
      <c r="AZ2" s="243" t="s">
        <v>1</v>
      </c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 t="s">
        <v>1</v>
      </c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7"/>
      <c r="CB2" s="5" t="s">
        <v>2</v>
      </c>
      <c r="CC2" s="5"/>
      <c r="CD2" s="5"/>
      <c r="CE2" s="5"/>
      <c r="CF2" s="5"/>
      <c r="CG2" s="5"/>
    </row>
    <row r="3" spans="1:86" ht="45" customHeight="1" x14ac:dyDescent="0.25">
      <c r="A3" s="128" t="s">
        <v>3</v>
      </c>
      <c r="B3" s="9"/>
      <c r="C3" s="9"/>
      <c r="D3" s="36"/>
      <c r="E3" s="39"/>
      <c r="F3" s="36" t="s">
        <v>4</v>
      </c>
      <c r="G3" s="36">
        <v>1995</v>
      </c>
      <c r="H3" s="36" t="s">
        <v>4</v>
      </c>
      <c r="I3" s="36" t="s">
        <v>4</v>
      </c>
      <c r="J3" s="36" t="s">
        <v>4</v>
      </c>
      <c r="K3" s="36" t="s">
        <v>4</v>
      </c>
      <c r="L3" s="36" t="s">
        <v>4</v>
      </c>
      <c r="M3" s="36" t="s">
        <v>4</v>
      </c>
      <c r="N3" s="36" t="s">
        <v>4</v>
      </c>
      <c r="O3" s="36" t="s">
        <v>4</v>
      </c>
      <c r="P3" s="36" t="s">
        <v>4</v>
      </c>
      <c r="Q3" s="36" t="s">
        <v>4</v>
      </c>
      <c r="R3" s="36" t="s">
        <v>4</v>
      </c>
      <c r="S3" s="36" t="s">
        <v>4</v>
      </c>
      <c r="T3" s="36" t="s">
        <v>4</v>
      </c>
      <c r="U3" s="36" t="s">
        <v>4</v>
      </c>
      <c r="V3" s="36" t="s">
        <v>4</v>
      </c>
      <c r="W3" s="36" t="s">
        <v>4</v>
      </c>
      <c r="X3" s="39" t="s">
        <v>4</v>
      </c>
      <c r="Y3" s="39" t="s">
        <v>4</v>
      </c>
      <c r="Z3" s="39">
        <v>1996</v>
      </c>
      <c r="AA3" s="39">
        <v>1997</v>
      </c>
      <c r="AB3" s="39">
        <v>1998</v>
      </c>
      <c r="AC3" s="39">
        <v>1999</v>
      </c>
      <c r="AD3" s="39">
        <v>2000</v>
      </c>
      <c r="AE3" s="39">
        <v>2001</v>
      </c>
      <c r="AF3" s="39">
        <v>2002</v>
      </c>
      <c r="AG3" s="39">
        <v>2003</v>
      </c>
      <c r="AH3" s="39">
        <v>2004</v>
      </c>
      <c r="AI3" s="39">
        <v>2005</v>
      </c>
      <c r="AJ3" s="39">
        <v>2006</v>
      </c>
      <c r="AK3" s="39">
        <v>2007</v>
      </c>
      <c r="AL3" s="39">
        <v>2008</v>
      </c>
      <c r="AM3" s="39">
        <v>2009</v>
      </c>
      <c r="AN3" s="39">
        <v>2010</v>
      </c>
      <c r="AO3" s="39">
        <v>2011</v>
      </c>
      <c r="AP3" s="39">
        <v>2012</v>
      </c>
      <c r="AQ3" s="39">
        <v>2013</v>
      </c>
      <c r="AR3" s="39">
        <v>2014</v>
      </c>
      <c r="AS3" s="39">
        <v>2015</v>
      </c>
      <c r="AT3" s="39">
        <v>2016</v>
      </c>
      <c r="AU3" s="39">
        <v>2017</v>
      </c>
      <c r="AV3" s="39">
        <v>2018</v>
      </c>
      <c r="AW3" s="39">
        <v>2019</v>
      </c>
      <c r="AX3" s="39">
        <v>2020</v>
      </c>
      <c r="AY3" s="39">
        <v>2021</v>
      </c>
      <c r="AZ3" s="39">
        <v>2022</v>
      </c>
      <c r="BA3" s="39">
        <v>2022</v>
      </c>
      <c r="BB3" s="39">
        <v>2023</v>
      </c>
      <c r="BC3" s="39">
        <v>1996</v>
      </c>
      <c r="BD3" s="39">
        <v>1997</v>
      </c>
      <c r="BE3" s="39">
        <v>1998</v>
      </c>
      <c r="BF3" s="39">
        <v>1999</v>
      </c>
      <c r="BG3" s="39">
        <v>2000</v>
      </c>
      <c r="BH3" s="39">
        <v>2001</v>
      </c>
      <c r="BI3" s="39">
        <v>2002</v>
      </c>
      <c r="BJ3" s="39">
        <v>2003</v>
      </c>
      <c r="BK3" s="39">
        <v>2004</v>
      </c>
      <c r="BL3" s="39">
        <v>2005</v>
      </c>
      <c r="BM3" s="39">
        <v>2006</v>
      </c>
      <c r="BN3" s="39">
        <v>2007</v>
      </c>
      <c r="BO3" s="39">
        <v>2008</v>
      </c>
      <c r="BP3" s="39">
        <v>2009</v>
      </c>
      <c r="BQ3" s="39">
        <v>2010</v>
      </c>
      <c r="BR3" s="39">
        <v>2011</v>
      </c>
      <c r="BS3" s="39">
        <v>2012</v>
      </c>
      <c r="BT3" s="39">
        <v>2013</v>
      </c>
      <c r="BU3" s="39">
        <v>2014</v>
      </c>
      <c r="BV3" s="39">
        <v>2015</v>
      </c>
      <c r="BW3" s="39">
        <v>2016</v>
      </c>
      <c r="BX3" s="39">
        <v>2017</v>
      </c>
      <c r="BY3" s="39">
        <v>2018</v>
      </c>
      <c r="BZ3" s="39">
        <v>2019</v>
      </c>
      <c r="CA3" s="39">
        <v>2020</v>
      </c>
      <c r="CB3" s="39">
        <v>2021</v>
      </c>
      <c r="CC3" s="39">
        <v>2022</v>
      </c>
      <c r="CD3" s="103">
        <v>2022</v>
      </c>
      <c r="CE3" s="103">
        <v>2023</v>
      </c>
      <c r="CF3" s="103">
        <v>2022</v>
      </c>
      <c r="CG3" s="103">
        <v>2023</v>
      </c>
    </row>
    <row r="4" spans="1:86" x14ac:dyDescent="0.25">
      <c r="A4" s="10">
        <v>17</v>
      </c>
      <c r="B4" s="11" t="s">
        <v>21</v>
      </c>
      <c r="C4" s="242"/>
      <c r="D4" s="182">
        <v>-1</v>
      </c>
      <c r="E4" s="152">
        <v>346</v>
      </c>
      <c r="F4" s="152">
        <v>-1</v>
      </c>
      <c r="G4" s="151">
        <v>-2</v>
      </c>
      <c r="H4" s="151">
        <v>-2</v>
      </c>
      <c r="I4" s="151">
        <v>-1</v>
      </c>
      <c r="J4" s="151"/>
      <c r="K4" s="151">
        <v>-1</v>
      </c>
      <c r="L4" s="151">
        <v>-4</v>
      </c>
      <c r="M4" s="151">
        <v>-3</v>
      </c>
      <c r="N4" s="151">
        <v>-2</v>
      </c>
      <c r="O4" s="151">
        <v>-4</v>
      </c>
      <c r="P4" s="151">
        <v>-7</v>
      </c>
      <c r="Q4" s="182">
        <v>-9</v>
      </c>
      <c r="R4" s="182">
        <v>-6</v>
      </c>
      <c r="S4" s="182">
        <v>-3</v>
      </c>
      <c r="T4" s="182">
        <v>-25</v>
      </c>
      <c r="U4" s="182">
        <v>-1</v>
      </c>
      <c r="V4" s="182">
        <v>-2</v>
      </c>
      <c r="W4" s="182">
        <v>-6</v>
      </c>
      <c r="X4" s="153">
        <v>436</v>
      </c>
      <c r="Y4" s="153">
        <v>46</v>
      </c>
      <c r="Z4" s="141">
        <v>46</v>
      </c>
      <c r="AA4" s="141">
        <v>115</v>
      </c>
      <c r="AB4" s="141">
        <v>100</v>
      </c>
      <c r="AC4" s="141">
        <v>63</v>
      </c>
      <c r="AD4" s="141">
        <v>90</v>
      </c>
      <c r="AE4" s="141">
        <v>135</v>
      </c>
      <c r="AF4" s="141">
        <v>83</v>
      </c>
      <c r="AG4" s="141">
        <v>99</v>
      </c>
      <c r="AH4" s="184">
        <v>168</v>
      </c>
      <c r="AI4" s="184">
        <v>133</v>
      </c>
      <c r="AJ4" s="184">
        <v>88</v>
      </c>
      <c r="AK4" s="184">
        <v>170</v>
      </c>
      <c r="AL4" s="184">
        <v>83</v>
      </c>
      <c r="AM4" s="184">
        <v>23</v>
      </c>
      <c r="AN4" s="184">
        <v>8</v>
      </c>
      <c r="AO4" s="184">
        <v>15</v>
      </c>
      <c r="AP4" s="184">
        <v>28</v>
      </c>
      <c r="AQ4" s="184">
        <v>14</v>
      </c>
      <c r="AR4" s="169">
        <v>31</v>
      </c>
      <c r="AS4" s="173">
        <v>23</v>
      </c>
      <c r="AT4" s="173">
        <v>4</v>
      </c>
      <c r="AU4" s="185">
        <v>0</v>
      </c>
      <c r="AV4" s="184">
        <v>0</v>
      </c>
      <c r="AW4" s="173">
        <v>3</v>
      </c>
      <c r="AX4" s="154">
        <v>3</v>
      </c>
      <c r="AY4" s="184">
        <v>1928</v>
      </c>
      <c r="AZ4" s="153">
        <v>4</v>
      </c>
      <c r="BA4" s="153">
        <v>9</v>
      </c>
      <c r="BB4" s="141"/>
      <c r="BC4" s="141"/>
      <c r="BD4" s="141">
        <v>1</v>
      </c>
      <c r="BE4" s="141">
        <v>1</v>
      </c>
      <c r="BF4" s="141"/>
      <c r="BG4" s="141">
        <v>1</v>
      </c>
      <c r="BH4" s="141">
        <v>14</v>
      </c>
      <c r="BI4" s="141">
        <v>6</v>
      </c>
      <c r="BJ4" s="184">
        <v>3</v>
      </c>
      <c r="BK4" s="184">
        <v>5</v>
      </c>
      <c r="BL4" s="184">
        <v>4</v>
      </c>
      <c r="BM4" s="184">
        <v>1</v>
      </c>
      <c r="BN4" s="184">
        <v>2</v>
      </c>
      <c r="BO4" s="184">
        <v>2</v>
      </c>
      <c r="BP4" s="184">
        <v>5</v>
      </c>
      <c r="BQ4" s="184"/>
      <c r="BR4" s="184">
        <v>1</v>
      </c>
      <c r="BS4" s="184">
        <v>1</v>
      </c>
      <c r="BT4" s="184">
        <v>1</v>
      </c>
      <c r="BU4" s="184">
        <v>7</v>
      </c>
      <c r="BV4" s="184">
        <v>1</v>
      </c>
      <c r="BW4" s="184"/>
      <c r="BX4" s="184"/>
      <c r="BY4" s="184">
        <v>2</v>
      </c>
      <c r="BZ4" s="154">
        <v>5</v>
      </c>
      <c r="CA4" s="184">
        <v>0</v>
      </c>
      <c r="CB4" s="141">
        <v>72</v>
      </c>
      <c r="CC4" s="141">
        <v>0</v>
      </c>
      <c r="CD4" s="141">
        <v>2000</v>
      </c>
      <c r="CE4" s="141">
        <v>4</v>
      </c>
      <c r="CF4" s="141">
        <v>1931</v>
      </c>
      <c r="CG4" s="141">
        <v>72</v>
      </c>
      <c r="CH4" s="220">
        <f>+CF4+CG4</f>
        <v>2003</v>
      </c>
    </row>
    <row r="5" spans="1:86" x14ac:dyDescent="0.25">
      <c r="A5" s="14">
        <v>5</v>
      </c>
      <c r="B5" s="2" t="s">
        <v>9</v>
      </c>
      <c r="C5" s="15"/>
      <c r="D5" s="183">
        <v>-3</v>
      </c>
      <c r="E5" s="150">
        <v>448</v>
      </c>
      <c r="F5" s="150">
        <v>-10</v>
      </c>
      <c r="G5" s="136">
        <v>-6</v>
      </c>
      <c r="H5" s="136">
        <v>-15</v>
      </c>
      <c r="I5" s="136">
        <v>-4</v>
      </c>
      <c r="J5" s="136">
        <v>-6</v>
      </c>
      <c r="K5" s="136">
        <v>-12</v>
      </c>
      <c r="L5" s="136">
        <v>-1</v>
      </c>
      <c r="M5" s="136">
        <v>-4</v>
      </c>
      <c r="N5" s="136">
        <v>-9</v>
      </c>
      <c r="O5" s="136">
        <v>-11</v>
      </c>
      <c r="P5" s="136">
        <v>-6</v>
      </c>
      <c r="Q5" s="183">
        <v>-6</v>
      </c>
      <c r="R5" s="183">
        <v>-6</v>
      </c>
      <c r="S5" s="183">
        <v>-14</v>
      </c>
      <c r="T5" s="183">
        <v>-9</v>
      </c>
      <c r="U5" s="183">
        <v>-4</v>
      </c>
      <c r="V5" s="183">
        <v>-3</v>
      </c>
      <c r="W5" s="183">
        <v>-7</v>
      </c>
      <c r="X5" s="131">
        <v>490</v>
      </c>
      <c r="Y5" s="131">
        <v>116</v>
      </c>
      <c r="Z5" s="130">
        <v>53</v>
      </c>
      <c r="AA5" s="130">
        <v>37</v>
      </c>
      <c r="AB5" s="130">
        <v>78</v>
      </c>
      <c r="AC5" s="130">
        <v>39</v>
      </c>
      <c r="AD5" s="130">
        <v>99</v>
      </c>
      <c r="AE5" s="130">
        <v>23</v>
      </c>
      <c r="AF5" s="130">
        <v>50</v>
      </c>
      <c r="AG5" s="130">
        <v>40</v>
      </c>
      <c r="AH5" s="185">
        <v>113</v>
      </c>
      <c r="AI5" s="185">
        <v>35</v>
      </c>
      <c r="AJ5" s="185">
        <v>47</v>
      </c>
      <c r="AK5" s="169">
        <v>24</v>
      </c>
      <c r="AL5" s="185">
        <v>94</v>
      </c>
      <c r="AM5" s="185">
        <v>24</v>
      </c>
      <c r="AN5" s="173">
        <v>32</v>
      </c>
      <c r="AO5" s="185">
        <v>13</v>
      </c>
      <c r="AP5" s="185">
        <v>15</v>
      </c>
      <c r="AQ5" s="185">
        <v>12</v>
      </c>
      <c r="AR5" s="169">
        <v>12</v>
      </c>
      <c r="AS5" s="173">
        <v>2</v>
      </c>
      <c r="AT5" s="185">
        <v>8</v>
      </c>
      <c r="AU5" s="169">
        <v>13</v>
      </c>
      <c r="AV5" s="173">
        <v>1</v>
      </c>
      <c r="AW5" s="169">
        <v>10</v>
      </c>
      <c r="AX5" s="154">
        <v>0</v>
      </c>
      <c r="AY5" s="185">
        <v>1348</v>
      </c>
      <c r="AZ5" s="131">
        <v>10</v>
      </c>
      <c r="BA5" s="131">
        <v>6</v>
      </c>
      <c r="BB5" s="130">
        <v>1</v>
      </c>
      <c r="BC5" s="130">
        <v>2</v>
      </c>
      <c r="BD5" s="130">
        <v>0</v>
      </c>
      <c r="BE5" s="130">
        <v>3</v>
      </c>
      <c r="BF5" s="130">
        <v>3</v>
      </c>
      <c r="BG5" s="130"/>
      <c r="BH5" s="130"/>
      <c r="BI5" s="130"/>
      <c r="BJ5" s="185"/>
      <c r="BK5" s="185">
        <v>6</v>
      </c>
      <c r="BL5" s="185">
        <v>5</v>
      </c>
      <c r="BM5" s="169">
        <v>1</v>
      </c>
      <c r="BN5" s="185"/>
      <c r="BO5" s="185">
        <v>2</v>
      </c>
      <c r="BP5" s="185"/>
      <c r="BQ5" s="185"/>
      <c r="BR5" s="185"/>
      <c r="BS5" s="185"/>
      <c r="BT5" s="185"/>
      <c r="BU5" s="185">
        <v>2</v>
      </c>
      <c r="BV5" s="185">
        <v>1</v>
      </c>
      <c r="BW5" s="184">
        <v>1</v>
      </c>
      <c r="BX5" s="184"/>
      <c r="BY5" s="185"/>
      <c r="BZ5" s="154">
        <v>2</v>
      </c>
      <c r="CA5" s="185">
        <v>0</v>
      </c>
      <c r="CB5" s="130">
        <v>34</v>
      </c>
      <c r="CC5" s="130">
        <v>0</v>
      </c>
      <c r="CD5" s="130">
        <v>1382</v>
      </c>
      <c r="CE5" s="130">
        <v>10</v>
      </c>
      <c r="CF5" s="130">
        <v>1355</v>
      </c>
      <c r="CG5" s="130">
        <v>34</v>
      </c>
      <c r="CH5" s="220">
        <f>+CF5+CG5</f>
        <v>1389</v>
      </c>
    </row>
    <row r="6" spans="1:86" x14ac:dyDescent="0.25">
      <c r="A6" s="14">
        <v>66</v>
      </c>
      <c r="B6" s="2" t="s">
        <v>69</v>
      </c>
      <c r="C6" s="15"/>
      <c r="D6" s="183"/>
      <c r="E6" s="150">
        <v>132</v>
      </c>
      <c r="F6" s="150">
        <v>-15</v>
      </c>
      <c r="G6" s="136"/>
      <c r="H6" s="136">
        <v>-2</v>
      </c>
      <c r="I6" s="136">
        <v>-5</v>
      </c>
      <c r="J6" s="136">
        <v>-2</v>
      </c>
      <c r="K6" s="136"/>
      <c r="L6" s="136"/>
      <c r="M6" s="136"/>
      <c r="N6" s="136"/>
      <c r="O6" s="136">
        <v>-2</v>
      </c>
      <c r="P6" s="136"/>
      <c r="Q6" s="183">
        <v>-6</v>
      </c>
      <c r="R6" s="183"/>
      <c r="S6" s="183">
        <v>-4</v>
      </c>
      <c r="T6" s="183">
        <v>-5</v>
      </c>
      <c r="U6" s="183"/>
      <c r="V6" s="183"/>
      <c r="W6" s="183">
        <v>-1</v>
      </c>
      <c r="X6" s="131">
        <v>131</v>
      </c>
      <c r="Y6" s="131">
        <v>23</v>
      </c>
      <c r="Z6" s="130">
        <v>16</v>
      </c>
      <c r="AA6" s="130">
        <v>175</v>
      </c>
      <c r="AB6" s="130">
        <v>92</v>
      </c>
      <c r="AC6" s="130">
        <v>56</v>
      </c>
      <c r="AD6" s="130">
        <v>1</v>
      </c>
      <c r="AE6" s="130">
        <v>83</v>
      </c>
      <c r="AF6" s="130">
        <v>3</v>
      </c>
      <c r="AG6" s="130">
        <v>2</v>
      </c>
      <c r="AH6" s="185">
        <v>30</v>
      </c>
      <c r="AI6" s="185">
        <v>6</v>
      </c>
      <c r="AJ6" s="185">
        <v>212</v>
      </c>
      <c r="AK6" s="185">
        <v>4</v>
      </c>
      <c r="AL6" s="185">
        <v>79</v>
      </c>
      <c r="AM6" s="185">
        <v>106</v>
      </c>
      <c r="AN6" s="184">
        <v>1</v>
      </c>
      <c r="AO6" s="185">
        <v>2</v>
      </c>
      <c r="AP6" s="185">
        <v>2</v>
      </c>
      <c r="AQ6" s="185">
        <v>5</v>
      </c>
      <c r="AR6" s="184">
        <v>1</v>
      </c>
      <c r="AS6" s="173">
        <v>1</v>
      </c>
      <c r="AT6" s="185"/>
      <c r="AU6" s="185">
        <v>2</v>
      </c>
      <c r="AV6" s="184">
        <v>1</v>
      </c>
      <c r="AW6" s="185">
        <v>1</v>
      </c>
      <c r="AX6" s="154">
        <v>105</v>
      </c>
      <c r="AY6" s="185">
        <v>1098</v>
      </c>
      <c r="AZ6" s="131">
        <v>5</v>
      </c>
      <c r="BA6" s="131">
        <v>1</v>
      </c>
      <c r="BB6" s="130"/>
      <c r="BC6" s="130"/>
      <c r="BD6" s="130">
        <v>3</v>
      </c>
      <c r="BE6" s="130"/>
      <c r="BF6" s="130">
        <v>1</v>
      </c>
      <c r="BG6" s="130"/>
      <c r="BH6" s="130">
        <v>24</v>
      </c>
      <c r="BI6" s="130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4"/>
      <c r="BY6" s="185"/>
      <c r="BZ6" s="154"/>
      <c r="CA6" s="185">
        <v>3</v>
      </c>
      <c r="CB6" s="130">
        <v>32</v>
      </c>
      <c r="CC6" s="130">
        <v>0</v>
      </c>
      <c r="CD6" s="130">
        <v>1130</v>
      </c>
      <c r="CE6" s="130">
        <v>5</v>
      </c>
      <c r="CF6" s="130">
        <v>1103</v>
      </c>
      <c r="CG6" s="130">
        <v>32</v>
      </c>
      <c r="CH6" s="220">
        <f>+CF6+CG6</f>
        <v>1135</v>
      </c>
    </row>
    <row r="7" spans="1:86" x14ac:dyDescent="0.25">
      <c r="A7" s="14">
        <v>84</v>
      </c>
      <c r="B7" s="2" t="s">
        <v>87</v>
      </c>
      <c r="C7" s="15"/>
      <c r="D7" s="183">
        <v>-3</v>
      </c>
      <c r="E7" s="150">
        <v>288</v>
      </c>
      <c r="F7" s="150"/>
      <c r="G7" s="136">
        <v>-3</v>
      </c>
      <c r="H7" s="136">
        <v>-1</v>
      </c>
      <c r="I7" s="136">
        <v>-1</v>
      </c>
      <c r="J7" s="136">
        <v>-1</v>
      </c>
      <c r="K7" s="136">
        <v>-1</v>
      </c>
      <c r="L7" s="136">
        <v>-2</v>
      </c>
      <c r="M7" s="136"/>
      <c r="N7" s="136">
        <v>-1</v>
      </c>
      <c r="O7" s="136">
        <v>-3</v>
      </c>
      <c r="P7" s="136">
        <v>-2</v>
      </c>
      <c r="Q7" s="183"/>
      <c r="R7" s="183">
        <v>-3</v>
      </c>
      <c r="S7" s="183">
        <v>-8</v>
      </c>
      <c r="T7" s="183">
        <v>-8</v>
      </c>
      <c r="U7" s="183"/>
      <c r="V7" s="183"/>
      <c r="W7" s="183"/>
      <c r="X7" s="131">
        <v>304</v>
      </c>
      <c r="Y7" s="131">
        <v>25</v>
      </c>
      <c r="Z7" s="130">
        <v>41</v>
      </c>
      <c r="AA7" s="130">
        <v>70</v>
      </c>
      <c r="AB7" s="130">
        <v>39</v>
      </c>
      <c r="AC7" s="130">
        <v>25</v>
      </c>
      <c r="AD7" s="130">
        <v>7</v>
      </c>
      <c r="AE7" s="130">
        <v>20</v>
      </c>
      <c r="AF7" s="130">
        <v>5</v>
      </c>
      <c r="AG7" s="130">
        <v>53</v>
      </c>
      <c r="AH7" s="185">
        <v>11</v>
      </c>
      <c r="AI7" s="185">
        <v>11</v>
      </c>
      <c r="AJ7" s="185">
        <v>26</v>
      </c>
      <c r="AK7" s="185">
        <v>30</v>
      </c>
      <c r="AL7" s="185">
        <v>110</v>
      </c>
      <c r="AM7" s="185">
        <v>48</v>
      </c>
      <c r="AN7" s="185">
        <v>24</v>
      </c>
      <c r="AO7" s="185">
        <v>35</v>
      </c>
      <c r="AP7" s="185">
        <v>32</v>
      </c>
      <c r="AQ7" s="185">
        <v>40</v>
      </c>
      <c r="AR7" s="185">
        <v>20</v>
      </c>
      <c r="AS7" s="185">
        <v>19</v>
      </c>
      <c r="AT7" s="185">
        <v>5</v>
      </c>
      <c r="AU7" s="185">
        <v>20</v>
      </c>
      <c r="AV7" s="184">
        <v>3</v>
      </c>
      <c r="AW7" s="173">
        <v>8</v>
      </c>
      <c r="AX7" s="154">
        <v>16</v>
      </c>
      <c r="AY7" s="185">
        <v>1013</v>
      </c>
      <c r="AZ7" s="131">
        <v>13</v>
      </c>
      <c r="BA7" s="131">
        <v>1</v>
      </c>
      <c r="BB7" s="130"/>
      <c r="BC7" s="130">
        <v>4</v>
      </c>
      <c r="BD7" s="130">
        <v>8</v>
      </c>
      <c r="BE7" s="130">
        <v>3</v>
      </c>
      <c r="BF7" s="130"/>
      <c r="BG7" s="130"/>
      <c r="BH7" s="130">
        <v>3</v>
      </c>
      <c r="BI7" s="130"/>
      <c r="BJ7" s="185">
        <v>1</v>
      </c>
      <c r="BK7" s="185">
        <v>4</v>
      </c>
      <c r="BL7" s="185">
        <v>1</v>
      </c>
      <c r="BM7" s="185">
        <v>3</v>
      </c>
      <c r="BN7" s="185">
        <v>5</v>
      </c>
      <c r="BO7" s="185">
        <v>1</v>
      </c>
      <c r="BP7" s="185">
        <v>3</v>
      </c>
      <c r="BQ7" s="185">
        <v>2</v>
      </c>
      <c r="BR7" s="185">
        <v>3</v>
      </c>
      <c r="BS7" s="185"/>
      <c r="BT7" s="185">
        <v>1</v>
      </c>
      <c r="BU7" s="185"/>
      <c r="BV7" s="185">
        <v>1</v>
      </c>
      <c r="BW7" s="185"/>
      <c r="BX7" s="184">
        <v>0</v>
      </c>
      <c r="BY7" s="185"/>
      <c r="BZ7" s="154">
        <v>1</v>
      </c>
      <c r="CA7" s="185">
        <v>1</v>
      </c>
      <c r="CB7" s="130">
        <v>46</v>
      </c>
      <c r="CC7" s="130">
        <v>0</v>
      </c>
      <c r="CD7" s="130">
        <v>1059</v>
      </c>
      <c r="CE7" s="130">
        <v>13</v>
      </c>
      <c r="CF7" s="130">
        <v>1023</v>
      </c>
      <c r="CG7" s="130">
        <v>46</v>
      </c>
      <c r="CH7" s="220">
        <f>+CF7+CG7</f>
        <v>1069</v>
      </c>
    </row>
    <row r="8" spans="1:86" x14ac:dyDescent="0.25">
      <c r="A8" s="14">
        <v>6</v>
      </c>
      <c r="B8" s="2" t="s">
        <v>10</v>
      </c>
      <c r="C8" s="22"/>
      <c r="D8" s="183">
        <v>-1</v>
      </c>
      <c r="E8" s="150">
        <v>249</v>
      </c>
      <c r="F8" s="150">
        <v>-2</v>
      </c>
      <c r="G8" s="136">
        <v>-7</v>
      </c>
      <c r="H8" s="136">
        <v>-6</v>
      </c>
      <c r="I8" s="136">
        <v>-8</v>
      </c>
      <c r="J8" s="136"/>
      <c r="K8" s="136">
        <v>-4</v>
      </c>
      <c r="L8" s="136">
        <v>-2</v>
      </c>
      <c r="M8" s="136">
        <v>-2</v>
      </c>
      <c r="N8" s="136">
        <v>-5</v>
      </c>
      <c r="O8" s="136">
        <v>-4</v>
      </c>
      <c r="P8" s="136">
        <v>-2</v>
      </c>
      <c r="Q8" s="183">
        <v>-5</v>
      </c>
      <c r="R8" s="183">
        <v>-2</v>
      </c>
      <c r="S8" s="183">
        <v>-4</v>
      </c>
      <c r="T8" s="183">
        <v>-5</v>
      </c>
      <c r="U8" s="183">
        <v>-1</v>
      </c>
      <c r="V8" s="183"/>
      <c r="W8" s="183">
        <v>-2</v>
      </c>
      <c r="X8" s="131">
        <v>249</v>
      </c>
      <c r="Y8" s="131">
        <v>10</v>
      </c>
      <c r="Z8" s="130">
        <v>34</v>
      </c>
      <c r="AA8" s="130">
        <v>103</v>
      </c>
      <c r="AB8" s="130">
        <v>68</v>
      </c>
      <c r="AC8" s="130">
        <v>2</v>
      </c>
      <c r="AD8" s="130">
        <v>54</v>
      </c>
      <c r="AE8" s="130">
        <v>73</v>
      </c>
      <c r="AF8" s="130">
        <v>17</v>
      </c>
      <c r="AG8" s="130">
        <v>20</v>
      </c>
      <c r="AH8" s="185">
        <v>38</v>
      </c>
      <c r="AI8" s="169">
        <v>26</v>
      </c>
      <c r="AJ8" s="185">
        <v>229</v>
      </c>
      <c r="AK8" s="185">
        <v>38</v>
      </c>
      <c r="AL8" s="185">
        <v>19</v>
      </c>
      <c r="AM8" s="185">
        <v>13</v>
      </c>
      <c r="AN8" s="169">
        <v>1</v>
      </c>
      <c r="AO8" s="185">
        <v>9</v>
      </c>
      <c r="AP8" s="185">
        <v>22</v>
      </c>
      <c r="AQ8" s="185">
        <v>14</v>
      </c>
      <c r="AR8" s="169">
        <v>4</v>
      </c>
      <c r="AS8" s="173">
        <v>9</v>
      </c>
      <c r="AT8" s="169">
        <v>0</v>
      </c>
      <c r="AU8" s="225">
        <v>2</v>
      </c>
      <c r="AV8" s="184">
        <v>0</v>
      </c>
      <c r="AW8" s="173">
        <v>5</v>
      </c>
      <c r="AX8" s="154">
        <v>48</v>
      </c>
      <c r="AY8" s="185">
        <v>1046</v>
      </c>
      <c r="AZ8" s="131">
        <v>8</v>
      </c>
      <c r="BA8" s="131">
        <v>1</v>
      </c>
      <c r="BB8" s="130"/>
      <c r="BC8" s="130"/>
      <c r="BD8" s="130">
        <v>-1</v>
      </c>
      <c r="BE8" s="130"/>
      <c r="BF8" s="130"/>
      <c r="BG8" s="130"/>
      <c r="BH8" s="130"/>
      <c r="BI8" s="130"/>
      <c r="BJ8" s="185"/>
      <c r="BK8" s="169"/>
      <c r="BL8" s="185"/>
      <c r="BM8" s="185">
        <v>2</v>
      </c>
      <c r="BN8" s="185">
        <v>1</v>
      </c>
      <c r="BO8" s="185"/>
      <c r="BP8" s="185"/>
      <c r="BQ8" s="185">
        <v>1</v>
      </c>
      <c r="BR8" s="185"/>
      <c r="BS8" s="185"/>
      <c r="BT8" s="185"/>
      <c r="BU8" s="185"/>
      <c r="BV8" s="184"/>
      <c r="BW8" s="225"/>
      <c r="BX8" s="184"/>
      <c r="BY8" s="185"/>
      <c r="BZ8" s="154">
        <v>1</v>
      </c>
      <c r="CA8" s="185">
        <v>1</v>
      </c>
      <c r="CB8" s="130">
        <v>6</v>
      </c>
      <c r="CC8" s="130">
        <v>2</v>
      </c>
      <c r="CD8" s="130">
        <v>1052</v>
      </c>
      <c r="CE8" s="130">
        <v>10</v>
      </c>
      <c r="CF8" s="130">
        <v>1053</v>
      </c>
      <c r="CG8" s="130">
        <v>8</v>
      </c>
      <c r="CH8" s="220">
        <f>+CF8+CG8</f>
        <v>1061</v>
      </c>
    </row>
    <row r="9" spans="1:86" x14ac:dyDescent="0.25">
      <c r="A9" s="14">
        <v>83</v>
      </c>
      <c r="B9" s="2" t="s">
        <v>86</v>
      </c>
      <c r="C9" s="22"/>
      <c r="D9" s="183">
        <v>-2</v>
      </c>
      <c r="E9" s="150">
        <v>169</v>
      </c>
      <c r="F9" s="150"/>
      <c r="G9" s="136"/>
      <c r="H9" s="136">
        <v>-2</v>
      </c>
      <c r="I9" s="136"/>
      <c r="J9" s="136">
        <v>-3</v>
      </c>
      <c r="K9" s="136">
        <v>-3</v>
      </c>
      <c r="L9" s="136">
        <v>-1</v>
      </c>
      <c r="M9" s="136">
        <v>-2</v>
      </c>
      <c r="N9" s="136">
        <v>-10</v>
      </c>
      <c r="O9" s="136">
        <v>-2</v>
      </c>
      <c r="P9" s="136">
        <v>-6</v>
      </c>
      <c r="Q9" s="183">
        <v>-2</v>
      </c>
      <c r="R9" s="183">
        <v>-3</v>
      </c>
      <c r="S9" s="183">
        <v>-3</v>
      </c>
      <c r="T9" s="183">
        <v>-1</v>
      </c>
      <c r="U9" s="183"/>
      <c r="V9" s="183">
        <v>-1</v>
      </c>
      <c r="W9" s="183">
        <v>-1</v>
      </c>
      <c r="X9" s="131">
        <v>233</v>
      </c>
      <c r="Y9" s="131">
        <v>4</v>
      </c>
      <c r="Z9" s="130">
        <v>33</v>
      </c>
      <c r="AA9" s="130">
        <v>35</v>
      </c>
      <c r="AB9" s="130">
        <v>41</v>
      </c>
      <c r="AC9" s="130">
        <v>67</v>
      </c>
      <c r="AD9" s="130">
        <v>52</v>
      </c>
      <c r="AE9" s="130">
        <v>72</v>
      </c>
      <c r="AF9" s="130">
        <v>36</v>
      </c>
      <c r="AG9" s="130">
        <v>53</v>
      </c>
      <c r="AH9" s="185">
        <v>44</v>
      </c>
      <c r="AI9" s="185">
        <v>33</v>
      </c>
      <c r="AJ9" s="185">
        <v>59</v>
      </c>
      <c r="AK9" s="185">
        <v>30</v>
      </c>
      <c r="AL9" s="185">
        <v>27</v>
      </c>
      <c r="AM9" s="185">
        <v>12</v>
      </c>
      <c r="AN9" s="185">
        <v>32</v>
      </c>
      <c r="AO9" s="185">
        <v>13</v>
      </c>
      <c r="AP9" s="185">
        <v>26</v>
      </c>
      <c r="AQ9" s="185">
        <v>6</v>
      </c>
      <c r="AR9" s="185">
        <v>9</v>
      </c>
      <c r="AS9" s="227">
        <v>13</v>
      </c>
      <c r="AT9" s="185">
        <v>1</v>
      </c>
      <c r="AU9" s="185">
        <v>31</v>
      </c>
      <c r="AV9" s="184">
        <v>5</v>
      </c>
      <c r="AW9" s="184">
        <v>7</v>
      </c>
      <c r="AX9" s="154">
        <v>10</v>
      </c>
      <c r="AY9" s="185">
        <v>944</v>
      </c>
      <c r="AZ9" s="131">
        <v>4</v>
      </c>
      <c r="BA9" s="131">
        <v>2</v>
      </c>
      <c r="BB9" s="130"/>
      <c r="BC9" s="130"/>
      <c r="BD9" s="130"/>
      <c r="BE9" s="130"/>
      <c r="BF9" s="130"/>
      <c r="BG9" s="130"/>
      <c r="BH9" s="130">
        <v>2</v>
      </c>
      <c r="BI9" s="130">
        <v>2</v>
      </c>
      <c r="BJ9" s="185">
        <v>4</v>
      </c>
      <c r="BK9" s="185">
        <v>2</v>
      </c>
      <c r="BL9" s="185">
        <v>2</v>
      </c>
      <c r="BM9" s="185">
        <v>1</v>
      </c>
      <c r="BN9" s="185"/>
      <c r="BO9" s="185"/>
      <c r="BP9" s="185"/>
      <c r="BQ9" s="185"/>
      <c r="BR9" s="185">
        <v>5</v>
      </c>
      <c r="BS9" s="185"/>
      <c r="BT9" s="185"/>
      <c r="BU9" s="227">
        <v>1</v>
      </c>
      <c r="BV9" s="185"/>
      <c r="BW9" s="185"/>
      <c r="BX9" s="184">
        <v>2</v>
      </c>
      <c r="BY9" s="185"/>
      <c r="BZ9" s="154"/>
      <c r="CA9" s="185"/>
      <c r="CB9" s="130">
        <v>23</v>
      </c>
      <c r="CC9" s="130">
        <v>0</v>
      </c>
      <c r="CD9" s="130">
        <v>967</v>
      </c>
      <c r="CE9" s="130">
        <v>4</v>
      </c>
      <c r="CF9" s="130">
        <v>946</v>
      </c>
      <c r="CG9" s="130">
        <v>23</v>
      </c>
      <c r="CH9" s="220">
        <f>+CF9+CG9</f>
        <v>969</v>
      </c>
    </row>
    <row r="10" spans="1:86" x14ac:dyDescent="0.25">
      <c r="A10" s="14">
        <v>13</v>
      </c>
      <c r="B10" s="2" t="s">
        <v>17</v>
      </c>
      <c r="C10" s="15"/>
      <c r="D10" s="183">
        <v>-3</v>
      </c>
      <c r="E10" s="150">
        <v>132</v>
      </c>
      <c r="F10" s="150"/>
      <c r="G10" s="136">
        <v>-1</v>
      </c>
      <c r="H10" s="136"/>
      <c r="I10" s="136"/>
      <c r="J10" s="136"/>
      <c r="K10" s="136"/>
      <c r="L10" s="136">
        <v>-2</v>
      </c>
      <c r="M10" s="136"/>
      <c r="N10" s="136"/>
      <c r="O10" s="136">
        <v>-1</v>
      </c>
      <c r="P10" s="136">
        <v>-3</v>
      </c>
      <c r="Q10" s="183">
        <v>-1</v>
      </c>
      <c r="R10" s="183">
        <v>-3</v>
      </c>
      <c r="S10" s="183">
        <v>-2</v>
      </c>
      <c r="T10" s="183"/>
      <c r="U10" s="183">
        <v>-2</v>
      </c>
      <c r="V10" s="183"/>
      <c r="W10" s="183">
        <v>-3</v>
      </c>
      <c r="X10" s="131">
        <v>235</v>
      </c>
      <c r="Y10" s="131">
        <v>4</v>
      </c>
      <c r="Z10" s="130">
        <v>16</v>
      </c>
      <c r="AA10" s="130">
        <v>4</v>
      </c>
      <c r="AB10" s="130">
        <v>27</v>
      </c>
      <c r="AC10" s="130">
        <v>48</v>
      </c>
      <c r="AD10" s="130">
        <v>24</v>
      </c>
      <c r="AE10" s="130">
        <v>59</v>
      </c>
      <c r="AF10" s="130">
        <v>20</v>
      </c>
      <c r="AG10" s="130">
        <v>16</v>
      </c>
      <c r="AH10" s="185">
        <v>14</v>
      </c>
      <c r="AI10" s="185">
        <v>29</v>
      </c>
      <c r="AJ10" s="185">
        <v>28</v>
      </c>
      <c r="AK10" s="185">
        <v>52</v>
      </c>
      <c r="AL10" s="185">
        <v>33</v>
      </c>
      <c r="AM10" s="185">
        <v>9</v>
      </c>
      <c r="AN10" s="169">
        <v>17</v>
      </c>
      <c r="AO10" s="185">
        <v>15</v>
      </c>
      <c r="AP10" s="185">
        <v>19</v>
      </c>
      <c r="AQ10" s="185">
        <v>19</v>
      </c>
      <c r="AR10" s="184">
        <v>3</v>
      </c>
      <c r="AS10" s="173">
        <v>50</v>
      </c>
      <c r="AT10" s="185">
        <v>20</v>
      </c>
      <c r="AU10" s="169">
        <v>24</v>
      </c>
      <c r="AV10" s="184">
        <v>6</v>
      </c>
      <c r="AW10" s="169">
        <v>17</v>
      </c>
      <c r="AX10" s="154">
        <v>15</v>
      </c>
      <c r="AY10" s="185">
        <v>805</v>
      </c>
      <c r="AZ10" s="131">
        <v>9</v>
      </c>
      <c r="BA10" s="131">
        <v>1</v>
      </c>
      <c r="BB10" s="130"/>
      <c r="BC10" s="130">
        <v>2</v>
      </c>
      <c r="BD10" s="130"/>
      <c r="BE10" s="130"/>
      <c r="BF10" s="130"/>
      <c r="BG10" s="130"/>
      <c r="BH10" s="130">
        <v>4</v>
      </c>
      <c r="BI10" s="130">
        <v>4</v>
      </c>
      <c r="BJ10" s="185"/>
      <c r="BK10" s="185"/>
      <c r="BL10" s="185">
        <v>2</v>
      </c>
      <c r="BM10" s="185">
        <v>4</v>
      </c>
      <c r="BN10" s="185">
        <v>-1</v>
      </c>
      <c r="BO10" s="185"/>
      <c r="BP10" s="185"/>
      <c r="BQ10" s="185"/>
      <c r="BR10" s="185">
        <v>1</v>
      </c>
      <c r="BS10" s="185"/>
      <c r="BT10" s="185"/>
      <c r="BU10" s="185">
        <v>1</v>
      </c>
      <c r="BV10" s="185"/>
      <c r="BW10" s="185">
        <v>2</v>
      </c>
      <c r="BX10" s="184">
        <v>2</v>
      </c>
      <c r="BY10" s="185"/>
      <c r="BZ10" s="154"/>
      <c r="CA10" s="185">
        <v>0</v>
      </c>
      <c r="CB10" s="130">
        <v>22</v>
      </c>
      <c r="CC10" s="130">
        <v>2</v>
      </c>
      <c r="CD10" s="130">
        <v>827</v>
      </c>
      <c r="CE10" s="130">
        <v>11</v>
      </c>
      <c r="CF10" s="130">
        <v>811</v>
      </c>
      <c r="CG10" s="130">
        <v>24</v>
      </c>
      <c r="CH10" s="220">
        <f>+CF10+CG10</f>
        <v>835</v>
      </c>
    </row>
    <row r="11" spans="1:86" x14ac:dyDescent="0.25">
      <c r="A11" s="14">
        <v>30</v>
      </c>
      <c r="B11" s="2" t="s">
        <v>33</v>
      </c>
      <c r="C11" s="15"/>
      <c r="D11" s="183">
        <v>-1</v>
      </c>
      <c r="E11" s="150">
        <v>191</v>
      </c>
      <c r="F11" s="150">
        <v>-9</v>
      </c>
      <c r="G11" s="136">
        <v>-5</v>
      </c>
      <c r="H11" s="136"/>
      <c r="I11" s="136">
        <v>-1</v>
      </c>
      <c r="J11" s="136">
        <v>-2</v>
      </c>
      <c r="K11" s="136"/>
      <c r="L11" s="136"/>
      <c r="M11" s="136"/>
      <c r="N11" s="136"/>
      <c r="O11" s="136">
        <v>-5</v>
      </c>
      <c r="P11" s="136"/>
      <c r="Q11" s="183">
        <v>-2</v>
      </c>
      <c r="R11" s="183">
        <v>-2</v>
      </c>
      <c r="S11" s="183">
        <v>-2</v>
      </c>
      <c r="T11" s="183">
        <v>-4</v>
      </c>
      <c r="U11" s="183">
        <v>-2</v>
      </c>
      <c r="V11" s="183"/>
      <c r="W11" s="183">
        <v>-1</v>
      </c>
      <c r="X11" s="131">
        <v>191</v>
      </c>
      <c r="Y11" s="131">
        <v>129</v>
      </c>
      <c r="Z11" s="130">
        <v>75</v>
      </c>
      <c r="AA11" s="130">
        <v>12</v>
      </c>
      <c r="AB11" s="130">
        <v>22</v>
      </c>
      <c r="AC11" s="130">
        <v>60</v>
      </c>
      <c r="AD11" s="130">
        <v>14</v>
      </c>
      <c r="AE11" s="130">
        <v>5</v>
      </c>
      <c r="AF11" s="169">
        <v>26</v>
      </c>
      <c r="AG11" s="130">
        <v>1</v>
      </c>
      <c r="AH11" s="185">
        <v>31</v>
      </c>
      <c r="AI11" s="185">
        <v>5</v>
      </c>
      <c r="AJ11" s="185">
        <v>31</v>
      </c>
      <c r="AK11" s="185">
        <v>54</v>
      </c>
      <c r="AL11" s="185">
        <v>43</v>
      </c>
      <c r="AM11" s="185">
        <v>32</v>
      </c>
      <c r="AN11" s="185">
        <v>8</v>
      </c>
      <c r="AO11" s="185">
        <v>12</v>
      </c>
      <c r="AP11" s="185">
        <v>13</v>
      </c>
      <c r="AQ11" s="185">
        <v>28</v>
      </c>
      <c r="AR11" s="173">
        <v>20</v>
      </c>
      <c r="AS11" s="184">
        <v>16</v>
      </c>
      <c r="AT11" s="169">
        <v>0</v>
      </c>
      <c r="AU11" s="228">
        <v>3</v>
      </c>
      <c r="AV11" s="173">
        <v>1</v>
      </c>
      <c r="AW11" s="185">
        <v>5</v>
      </c>
      <c r="AX11" s="224">
        <v>3</v>
      </c>
      <c r="AY11" s="185">
        <v>805</v>
      </c>
      <c r="AZ11" s="131">
        <v>3</v>
      </c>
      <c r="BA11" s="131">
        <v>4</v>
      </c>
      <c r="BB11" s="130"/>
      <c r="BC11" s="130">
        <v>4</v>
      </c>
      <c r="BD11" s="130">
        <v>-4</v>
      </c>
      <c r="BE11" s="130"/>
      <c r="BF11" s="130"/>
      <c r="BG11" s="130"/>
      <c r="BH11" s="169">
        <v>1</v>
      </c>
      <c r="BI11" s="130"/>
      <c r="BJ11" s="185"/>
      <c r="BK11" s="185">
        <v>1</v>
      </c>
      <c r="BL11" s="185">
        <v>1</v>
      </c>
      <c r="BM11" s="185">
        <v>2</v>
      </c>
      <c r="BN11" s="185"/>
      <c r="BO11" s="185"/>
      <c r="BP11" s="185"/>
      <c r="BQ11" s="185"/>
      <c r="BR11" s="185"/>
      <c r="BS11" s="185"/>
      <c r="BT11" s="185"/>
      <c r="BU11" s="185"/>
      <c r="BV11" s="185"/>
      <c r="BW11" s="228"/>
      <c r="BX11" s="184"/>
      <c r="BY11" s="185"/>
      <c r="BZ11" s="224"/>
      <c r="CA11" s="185">
        <v>0</v>
      </c>
      <c r="CB11" s="130">
        <v>9</v>
      </c>
      <c r="CC11" s="130">
        <v>0</v>
      </c>
      <c r="CD11" s="130">
        <v>814</v>
      </c>
      <c r="CE11" s="130">
        <v>3</v>
      </c>
      <c r="CF11" s="130">
        <v>807</v>
      </c>
      <c r="CG11" s="130">
        <v>9</v>
      </c>
      <c r="CH11" s="220">
        <f>+CF11+CG11</f>
        <v>816</v>
      </c>
    </row>
    <row r="12" spans="1:86" x14ac:dyDescent="0.25">
      <c r="A12" s="14">
        <v>4</v>
      </c>
      <c r="B12" s="2" t="s">
        <v>8</v>
      </c>
      <c r="C12" s="22"/>
      <c r="D12" s="183"/>
      <c r="E12" s="150">
        <v>270</v>
      </c>
      <c r="F12" s="150">
        <v>-5</v>
      </c>
      <c r="G12" s="136">
        <v>-4</v>
      </c>
      <c r="H12" s="136">
        <v>-1</v>
      </c>
      <c r="I12" s="136"/>
      <c r="J12" s="136">
        <v>-4</v>
      </c>
      <c r="K12" s="136">
        <v>-8</v>
      </c>
      <c r="L12" s="136"/>
      <c r="M12" s="136"/>
      <c r="N12" s="136">
        <v>-4</v>
      </c>
      <c r="O12" s="136">
        <v>-2</v>
      </c>
      <c r="P12" s="136">
        <v>-6</v>
      </c>
      <c r="Q12" s="183">
        <v>-3</v>
      </c>
      <c r="R12" s="183">
        <v>-1</v>
      </c>
      <c r="S12" s="183">
        <v>-12</v>
      </c>
      <c r="T12" s="183">
        <v>-3</v>
      </c>
      <c r="U12" s="183">
        <v>-2</v>
      </c>
      <c r="V12" s="183"/>
      <c r="W12" s="183">
        <v>-2</v>
      </c>
      <c r="X12" s="131">
        <v>266</v>
      </c>
      <c r="Y12" s="131">
        <v>16</v>
      </c>
      <c r="Z12" s="130">
        <v>29</v>
      </c>
      <c r="AA12" s="130">
        <v>7</v>
      </c>
      <c r="AB12" s="130">
        <v>10</v>
      </c>
      <c r="AC12" s="130">
        <v>21</v>
      </c>
      <c r="AD12" s="130">
        <v>40</v>
      </c>
      <c r="AE12" s="130">
        <v>9</v>
      </c>
      <c r="AF12" s="130">
        <v>11</v>
      </c>
      <c r="AG12" s="169">
        <v>41</v>
      </c>
      <c r="AH12" s="185">
        <v>9</v>
      </c>
      <c r="AI12" s="185">
        <v>21</v>
      </c>
      <c r="AJ12" s="185">
        <v>22</v>
      </c>
      <c r="AK12" s="185">
        <v>8</v>
      </c>
      <c r="AL12" s="185">
        <v>135</v>
      </c>
      <c r="AM12" s="185">
        <v>16</v>
      </c>
      <c r="AN12" s="173">
        <v>20</v>
      </c>
      <c r="AO12" s="169">
        <v>17</v>
      </c>
      <c r="AP12" s="185">
        <v>9</v>
      </c>
      <c r="AQ12" s="185">
        <v>18</v>
      </c>
      <c r="AR12" s="184">
        <v>5</v>
      </c>
      <c r="AS12" s="169">
        <v>3</v>
      </c>
      <c r="AT12" s="169">
        <v>27</v>
      </c>
      <c r="AU12" s="225">
        <v>11</v>
      </c>
      <c r="AV12" s="184">
        <v>11</v>
      </c>
      <c r="AW12" s="169">
        <v>3</v>
      </c>
      <c r="AX12" s="154">
        <v>22</v>
      </c>
      <c r="AY12" s="185">
        <v>750</v>
      </c>
      <c r="AZ12" s="131">
        <v>24</v>
      </c>
      <c r="BA12" s="131">
        <v>5</v>
      </c>
      <c r="BB12" s="130"/>
      <c r="BC12" s="130"/>
      <c r="BD12" s="130">
        <v>-2</v>
      </c>
      <c r="BE12" s="130"/>
      <c r="BF12" s="130"/>
      <c r="BG12" s="130">
        <v>1</v>
      </c>
      <c r="BH12" s="130"/>
      <c r="BI12" s="130">
        <v>3</v>
      </c>
      <c r="BJ12" s="185"/>
      <c r="BK12" s="185"/>
      <c r="BL12" s="185">
        <v>1</v>
      </c>
      <c r="BM12" s="185"/>
      <c r="BN12" s="185"/>
      <c r="BO12" s="185">
        <v>1</v>
      </c>
      <c r="BP12" s="185">
        <v>1</v>
      </c>
      <c r="BQ12" s="169"/>
      <c r="BR12" s="185"/>
      <c r="BS12" s="185"/>
      <c r="BT12" s="185"/>
      <c r="BU12" s="185"/>
      <c r="BV12" s="185"/>
      <c r="BW12" s="225"/>
      <c r="BX12" s="184"/>
      <c r="BY12" s="185"/>
      <c r="BZ12" s="154"/>
      <c r="CA12" s="185">
        <v>0</v>
      </c>
      <c r="CB12" s="130">
        <v>10</v>
      </c>
      <c r="CC12" s="130">
        <v>0</v>
      </c>
      <c r="CD12" s="130">
        <v>760</v>
      </c>
      <c r="CE12" s="130">
        <v>24</v>
      </c>
      <c r="CF12" s="130">
        <v>774</v>
      </c>
      <c r="CG12" s="130">
        <v>10</v>
      </c>
      <c r="CH12" s="220">
        <f>+CF12+CG12</f>
        <v>784</v>
      </c>
    </row>
    <row r="13" spans="1:86" x14ac:dyDescent="0.25">
      <c r="A13" s="14">
        <v>29</v>
      </c>
      <c r="B13" s="2" t="s">
        <v>32</v>
      </c>
      <c r="C13" s="22"/>
      <c r="D13" s="183"/>
      <c r="E13" s="150">
        <v>166</v>
      </c>
      <c r="F13" s="150"/>
      <c r="G13" s="136">
        <v>-1</v>
      </c>
      <c r="H13" s="136">
        <v>-3</v>
      </c>
      <c r="I13" s="136">
        <v>-4</v>
      </c>
      <c r="J13" s="136">
        <v>-15</v>
      </c>
      <c r="K13" s="136">
        <v>-2</v>
      </c>
      <c r="L13" s="136"/>
      <c r="M13" s="136"/>
      <c r="N13" s="136">
        <v>-1</v>
      </c>
      <c r="O13" s="136">
        <v>-3</v>
      </c>
      <c r="P13" s="136">
        <v>-3</v>
      </c>
      <c r="Q13" s="183"/>
      <c r="R13" s="183"/>
      <c r="S13" s="183"/>
      <c r="T13" s="183"/>
      <c r="U13" s="183">
        <v>-1</v>
      </c>
      <c r="V13" s="183"/>
      <c r="W13" s="183"/>
      <c r="X13" s="131">
        <v>159</v>
      </c>
      <c r="Y13" s="131">
        <v>8</v>
      </c>
      <c r="Z13" s="130">
        <v>12</v>
      </c>
      <c r="AA13" s="130">
        <v>13</v>
      </c>
      <c r="AB13" s="130">
        <v>41</v>
      </c>
      <c r="AC13" s="130">
        <v>119</v>
      </c>
      <c r="AD13" s="130">
        <v>59</v>
      </c>
      <c r="AE13" s="130">
        <v>7</v>
      </c>
      <c r="AF13" s="130">
        <v>15</v>
      </c>
      <c r="AG13" s="130">
        <v>8</v>
      </c>
      <c r="AH13" s="185">
        <v>9</v>
      </c>
      <c r="AI13" s="185">
        <v>11</v>
      </c>
      <c r="AJ13" s="185">
        <v>6</v>
      </c>
      <c r="AK13" s="185">
        <v>14</v>
      </c>
      <c r="AL13" s="185">
        <v>-6</v>
      </c>
      <c r="AM13" s="185">
        <v>10</v>
      </c>
      <c r="AN13" s="173">
        <v>3</v>
      </c>
      <c r="AO13" s="185">
        <v>-1</v>
      </c>
      <c r="AP13" s="185">
        <v>6</v>
      </c>
      <c r="AQ13" s="185">
        <v>7</v>
      </c>
      <c r="AR13" s="184">
        <v>10</v>
      </c>
      <c r="AS13" s="185">
        <v>2</v>
      </c>
      <c r="AT13" s="169">
        <v>-5</v>
      </c>
      <c r="AU13" s="169">
        <v>1</v>
      </c>
      <c r="AV13" s="173">
        <v>0</v>
      </c>
      <c r="AW13" s="184">
        <v>4</v>
      </c>
      <c r="AX13" s="154">
        <v>6</v>
      </c>
      <c r="AY13" s="185">
        <v>487</v>
      </c>
      <c r="AZ13" s="131">
        <v>8</v>
      </c>
      <c r="BA13" s="131">
        <v>7</v>
      </c>
      <c r="BB13" s="130">
        <v>3</v>
      </c>
      <c r="BC13" s="130">
        <v>1</v>
      </c>
      <c r="BD13" s="130">
        <v>-3</v>
      </c>
      <c r="BE13" s="130">
        <v>9</v>
      </c>
      <c r="BF13" s="130">
        <v>39</v>
      </c>
      <c r="BG13" s="130">
        <v>23</v>
      </c>
      <c r="BH13" s="130">
        <v>12</v>
      </c>
      <c r="BI13" s="130">
        <v>10</v>
      </c>
      <c r="BJ13" s="185"/>
      <c r="BK13" s="185">
        <v>6</v>
      </c>
      <c r="BL13" s="185">
        <v>11</v>
      </c>
      <c r="BM13" s="185">
        <v>10</v>
      </c>
      <c r="BN13" s="185">
        <v>13</v>
      </c>
      <c r="BO13" s="185">
        <v>6</v>
      </c>
      <c r="BP13" s="185">
        <v>24</v>
      </c>
      <c r="BQ13" s="185"/>
      <c r="BR13" s="185">
        <v>12</v>
      </c>
      <c r="BS13" s="185">
        <v>9</v>
      </c>
      <c r="BT13" s="185">
        <v>7</v>
      </c>
      <c r="BU13" s="185">
        <v>15</v>
      </c>
      <c r="BV13" s="184">
        <v>15</v>
      </c>
      <c r="BW13" s="185">
        <v>2</v>
      </c>
      <c r="BX13" s="184">
        <v>38</v>
      </c>
      <c r="BY13" s="185">
        <v>5</v>
      </c>
      <c r="BZ13" s="154">
        <v>1</v>
      </c>
      <c r="CA13" s="185">
        <v>6</v>
      </c>
      <c r="CB13" s="130">
        <v>279</v>
      </c>
      <c r="CC13" s="130">
        <v>6</v>
      </c>
      <c r="CD13" s="130">
        <v>766</v>
      </c>
      <c r="CE13" s="130">
        <v>14</v>
      </c>
      <c r="CF13" s="130">
        <v>495</v>
      </c>
      <c r="CG13" s="130">
        <v>285</v>
      </c>
      <c r="CH13" s="220">
        <f>+CF13+CG13</f>
        <v>780</v>
      </c>
    </row>
    <row r="14" spans="1:86" x14ac:dyDescent="0.25">
      <c r="A14" s="14">
        <v>14</v>
      </c>
      <c r="B14" s="2" t="s">
        <v>18</v>
      </c>
      <c r="C14" s="22"/>
      <c r="D14" s="183">
        <v>-6</v>
      </c>
      <c r="E14" s="150">
        <v>184</v>
      </c>
      <c r="F14" s="150"/>
      <c r="G14" s="136">
        <v>-1</v>
      </c>
      <c r="H14" s="136"/>
      <c r="I14" s="136"/>
      <c r="J14" s="136"/>
      <c r="K14" s="136"/>
      <c r="L14" s="136">
        <v>-1</v>
      </c>
      <c r="M14" s="136"/>
      <c r="N14" s="136">
        <v>-2</v>
      </c>
      <c r="O14" s="136"/>
      <c r="P14" s="136"/>
      <c r="Q14" s="183"/>
      <c r="R14" s="183"/>
      <c r="S14" s="183"/>
      <c r="T14" s="183"/>
      <c r="U14" s="183"/>
      <c r="V14" s="183"/>
      <c r="W14" s="183">
        <v>-5</v>
      </c>
      <c r="X14" s="131">
        <v>186</v>
      </c>
      <c r="Y14" s="131">
        <v>8</v>
      </c>
      <c r="Z14" s="130">
        <v>2</v>
      </c>
      <c r="AA14" s="130">
        <v>9</v>
      </c>
      <c r="AB14" s="130">
        <v>3</v>
      </c>
      <c r="AC14" s="130">
        <v>26</v>
      </c>
      <c r="AD14" s="130">
        <v>3</v>
      </c>
      <c r="AE14" s="130">
        <v>5</v>
      </c>
      <c r="AF14" s="130">
        <v>7</v>
      </c>
      <c r="AG14" s="130">
        <v>21</v>
      </c>
      <c r="AH14" s="185">
        <v>15</v>
      </c>
      <c r="AI14" s="185">
        <v>14</v>
      </c>
      <c r="AJ14" s="185">
        <v>9</v>
      </c>
      <c r="AK14" s="185">
        <v>4</v>
      </c>
      <c r="AL14" s="185">
        <v>54</v>
      </c>
      <c r="AM14" s="185">
        <v>6</v>
      </c>
      <c r="AN14" s="185">
        <v>2</v>
      </c>
      <c r="AO14" s="185">
        <v>5</v>
      </c>
      <c r="AP14" s="185">
        <v>1</v>
      </c>
      <c r="AQ14" s="185">
        <v>62</v>
      </c>
      <c r="AR14" s="184">
        <v>1</v>
      </c>
      <c r="AS14" s="184">
        <v>20</v>
      </c>
      <c r="AT14" s="169">
        <v>76</v>
      </c>
      <c r="AU14" s="225">
        <v>48</v>
      </c>
      <c r="AV14" s="184">
        <v>59</v>
      </c>
      <c r="AW14" s="185">
        <v>19</v>
      </c>
      <c r="AX14" s="154">
        <v>27</v>
      </c>
      <c r="AY14" s="185">
        <v>681</v>
      </c>
      <c r="AZ14" s="131">
        <v>71</v>
      </c>
      <c r="BA14" s="131">
        <v>1</v>
      </c>
      <c r="BB14" s="130"/>
      <c r="BC14" s="130"/>
      <c r="BD14" s="130"/>
      <c r="BE14" s="130"/>
      <c r="BF14" s="130">
        <v>1</v>
      </c>
      <c r="BG14" s="130"/>
      <c r="BH14" s="130"/>
      <c r="BI14" s="130"/>
      <c r="BJ14" s="185"/>
      <c r="BK14" s="185">
        <v>1</v>
      </c>
      <c r="BL14" s="185"/>
      <c r="BM14" s="185"/>
      <c r="BN14" s="185"/>
      <c r="BO14" s="185"/>
      <c r="BP14" s="185"/>
      <c r="BQ14" s="185"/>
      <c r="BR14" s="185">
        <v>1</v>
      </c>
      <c r="BS14" s="185"/>
      <c r="BT14" s="185"/>
      <c r="BU14" s="185"/>
      <c r="BV14" s="185"/>
      <c r="BW14" s="225"/>
      <c r="BX14" s="184"/>
      <c r="BY14" s="185"/>
      <c r="BZ14" s="154">
        <v>1</v>
      </c>
      <c r="CA14" s="185">
        <v>0</v>
      </c>
      <c r="CB14" s="130">
        <v>7</v>
      </c>
      <c r="CC14" s="130">
        <v>6</v>
      </c>
      <c r="CD14" s="130">
        <v>688</v>
      </c>
      <c r="CE14" s="130">
        <v>77</v>
      </c>
      <c r="CF14" s="130">
        <v>746</v>
      </c>
      <c r="CG14" s="130">
        <v>13</v>
      </c>
      <c r="CH14" s="220">
        <f>+CF14+CG14</f>
        <v>759</v>
      </c>
    </row>
    <row r="15" spans="1:86" x14ac:dyDescent="0.25">
      <c r="A15" s="14">
        <v>50</v>
      </c>
      <c r="B15" s="2" t="s">
        <v>53</v>
      </c>
      <c r="C15" s="15"/>
      <c r="D15" s="183"/>
      <c r="E15" s="150">
        <v>187</v>
      </c>
      <c r="F15" s="150">
        <v>-1</v>
      </c>
      <c r="G15" s="136">
        <v>-2</v>
      </c>
      <c r="H15" s="136"/>
      <c r="I15" s="136"/>
      <c r="J15" s="136">
        <v>-3</v>
      </c>
      <c r="K15" s="136"/>
      <c r="L15" s="136"/>
      <c r="M15" s="136">
        <v>-5</v>
      </c>
      <c r="N15" s="136"/>
      <c r="O15" s="136"/>
      <c r="P15" s="136"/>
      <c r="Q15" s="183">
        <v>-2</v>
      </c>
      <c r="R15" s="183"/>
      <c r="S15" s="183"/>
      <c r="T15" s="183"/>
      <c r="U15" s="183">
        <v>-1</v>
      </c>
      <c r="V15" s="183"/>
      <c r="W15" s="183"/>
      <c r="X15" s="131">
        <v>187</v>
      </c>
      <c r="Y15" s="131">
        <v>5</v>
      </c>
      <c r="Z15" s="130">
        <v>27</v>
      </c>
      <c r="AA15" s="130">
        <v>8</v>
      </c>
      <c r="AB15" s="130">
        <v>8</v>
      </c>
      <c r="AC15" s="130">
        <v>30</v>
      </c>
      <c r="AD15" s="130">
        <v>19</v>
      </c>
      <c r="AE15" s="130">
        <v>4</v>
      </c>
      <c r="AF15" s="130">
        <v>71</v>
      </c>
      <c r="AG15" s="130">
        <v>12</v>
      </c>
      <c r="AH15" s="185">
        <v>77</v>
      </c>
      <c r="AI15" s="185">
        <v>4</v>
      </c>
      <c r="AJ15" s="185">
        <v>4</v>
      </c>
      <c r="AK15" s="185">
        <v>19</v>
      </c>
      <c r="AL15" s="185">
        <v>2</v>
      </c>
      <c r="AM15" s="185">
        <v>1</v>
      </c>
      <c r="AN15" s="169">
        <v>1</v>
      </c>
      <c r="AO15" s="185">
        <v>4</v>
      </c>
      <c r="AP15" s="185">
        <v>1</v>
      </c>
      <c r="AQ15" s="185"/>
      <c r="AR15" s="184">
        <v>1</v>
      </c>
      <c r="AS15" s="185">
        <v>1</v>
      </c>
      <c r="AT15" s="185">
        <v>49</v>
      </c>
      <c r="AU15" s="185">
        <v>40</v>
      </c>
      <c r="AV15" s="184">
        <v>43</v>
      </c>
      <c r="AW15" s="169">
        <v>41</v>
      </c>
      <c r="AX15" s="154">
        <v>5</v>
      </c>
      <c r="AY15" s="185">
        <v>649</v>
      </c>
      <c r="AZ15" s="131">
        <v>11</v>
      </c>
      <c r="BA15" s="131">
        <v>3</v>
      </c>
      <c r="BB15" s="130">
        <v>1</v>
      </c>
      <c r="BC15" s="130">
        <v>2</v>
      </c>
      <c r="BD15" s="130">
        <v>-2</v>
      </c>
      <c r="BE15" s="130"/>
      <c r="BF15" s="130">
        <v>7</v>
      </c>
      <c r="BG15" s="130">
        <v>2</v>
      </c>
      <c r="BH15" s="130"/>
      <c r="BI15" s="130"/>
      <c r="BJ15" s="185"/>
      <c r="BK15" s="185">
        <v>6</v>
      </c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4"/>
      <c r="BY15" s="185">
        <v>1</v>
      </c>
      <c r="BZ15" s="154">
        <v>1</v>
      </c>
      <c r="CA15" s="185">
        <v>-1</v>
      </c>
      <c r="CB15" s="130">
        <v>21</v>
      </c>
      <c r="CC15" s="130">
        <v>1</v>
      </c>
      <c r="CD15" s="130">
        <v>670</v>
      </c>
      <c r="CE15" s="130">
        <v>12</v>
      </c>
      <c r="CF15" s="130">
        <v>660</v>
      </c>
      <c r="CG15" s="130">
        <v>22</v>
      </c>
      <c r="CH15" s="220">
        <f>+CF15+CG15</f>
        <v>682</v>
      </c>
    </row>
    <row r="16" spans="1:86" x14ac:dyDescent="0.25">
      <c r="A16" s="14">
        <v>27</v>
      </c>
      <c r="B16" s="2" t="s">
        <v>30</v>
      </c>
      <c r="C16" s="15"/>
      <c r="D16" s="183"/>
      <c r="E16" s="150">
        <v>274</v>
      </c>
      <c r="F16" s="150"/>
      <c r="G16" s="136"/>
      <c r="H16" s="136"/>
      <c r="I16" s="136">
        <v>-1</v>
      </c>
      <c r="J16" s="136">
        <v>-2</v>
      </c>
      <c r="K16" s="136">
        <v>-1</v>
      </c>
      <c r="L16" s="136"/>
      <c r="M16" s="136">
        <v>-2</v>
      </c>
      <c r="N16" s="136"/>
      <c r="O16" s="136"/>
      <c r="P16" s="136"/>
      <c r="Q16" s="183"/>
      <c r="R16" s="183"/>
      <c r="S16" s="183">
        <v>-1</v>
      </c>
      <c r="T16" s="183">
        <v>-2</v>
      </c>
      <c r="U16" s="183">
        <v>-1</v>
      </c>
      <c r="V16" s="183"/>
      <c r="W16" s="183"/>
      <c r="X16" s="131">
        <v>338</v>
      </c>
      <c r="Y16" s="131">
        <v>21</v>
      </c>
      <c r="Z16" s="130">
        <v>9</v>
      </c>
      <c r="AA16" s="130">
        <v>5</v>
      </c>
      <c r="AB16" s="130">
        <v>24</v>
      </c>
      <c r="AC16" s="130">
        <v>25</v>
      </c>
      <c r="AD16" s="130">
        <v>15</v>
      </c>
      <c r="AE16" s="130">
        <v>13</v>
      </c>
      <c r="AF16" s="130">
        <v>9</v>
      </c>
      <c r="AG16" s="130">
        <v>8</v>
      </c>
      <c r="AH16" s="185">
        <v>2</v>
      </c>
      <c r="AI16" s="185">
        <v>12</v>
      </c>
      <c r="AJ16" s="185">
        <v>8</v>
      </c>
      <c r="AK16" s="185">
        <v>3</v>
      </c>
      <c r="AL16" s="185">
        <v>7</v>
      </c>
      <c r="AM16" s="185">
        <v>21</v>
      </c>
      <c r="AN16" s="173">
        <v>11</v>
      </c>
      <c r="AO16" s="185">
        <v>5</v>
      </c>
      <c r="AP16" s="185">
        <v>3</v>
      </c>
      <c r="AQ16" s="185">
        <v>3</v>
      </c>
      <c r="AR16" s="184">
        <v>2</v>
      </c>
      <c r="AS16" s="185">
        <v>8</v>
      </c>
      <c r="AT16" s="185">
        <v>6</v>
      </c>
      <c r="AU16" s="169">
        <v>5</v>
      </c>
      <c r="AV16" s="173">
        <v>1</v>
      </c>
      <c r="AW16" s="184">
        <v>2</v>
      </c>
      <c r="AX16" s="154">
        <v>10</v>
      </c>
      <c r="AY16" s="185">
        <v>566</v>
      </c>
      <c r="AZ16" s="131">
        <v>0</v>
      </c>
      <c r="BA16" s="131">
        <v>9</v>
      </c>
      <c r="BB16" s="130">
        <v>2</v>
      </c>
      <c r="BC16" s="130"/>
      <c r="BD16" s="130">
        <v>-2</v>
      </c>
      <c r="BE16" s="130"/>
      <c r="BF16" s="130"/>
      <c r="BG16" s="130"/>
      <c r="BH16" s="130">
        <v>4</v>
      </c>
      <c r="BI16" s="130"/>
      <c r="BJ16" s="185">
        <v>2</v>
      </c>
      <c r="BK16" s="185">
        <v>3</v>
      </c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4"/>
      <c r="BX16" s="184"/>
      <c r="BY16" s="185"/>
      <c r="BZ16" s="154">
        <v>2</v>
      </c>
      <c r="CA16" s="185">
        <v>0</v>
      </c>
      <c r="CB16" s="130">
        <v>20</v>
      </c>
      <c r="CC16" s="130">
        <v>2</v>
      </c>
      <c r="CD16" s="130">
        <v>586</v>
      </c>
      <c r="CE16" s="130">
        <v>2</v>
      </c>
      <c r="CF16" s="130">
        <v>566</v>
      </c>
      <c r="CG16" s="130">
        <v>22</v>
      </c>
      <c r="CH16" s="220">
        <f>+CF16+CG16</f>
        <v>588</v>
      </c>
    </row>
    <row r="17" spans="1:86" x14ac:dyDescent="0.25">
      <c r="A17" s="14">
        <v>79</v>
      </c>
      <c r="B17" s="2" t="s">
        <v>82</v>
      </c>
      <c r="C17" s="22"/>
      <c r="D17" s="183">
        <v>-2</v>
      </c>
      <c r="E17" s="150">
        <v>15</v>
      </c>
      <c r="F17" s="150"/>
      <c r="G17" s="136">
        <v>-1</v>
      </c>
      <c r="H17" s="136"/>
      <c r="I17" s="136"/>
      <c r="J17" s="136"/>
      <c r="K17" s="136">
        <v>-1</v>
      </c>
      <c r="L17" s="136"/>
      <c r="M17" s="136"/>
      <c r="N17" s="136"/>
      <c r="O17" s="136"/>
      <c r="P17" s="136">
        <v>-1</v>
      </c>
      <c r="Q17" s="183">
        <v>-2</v>
      </c>
      <c r="R17" s="183">
        <v>-6</v>
      </c>
      <c r="S17" s="183">
        <v>-2</v>
      </c>
      <c r="T17" s="183">
        <v>-1</v>
      </c>
      <c r="U17" s="183"/>
      <c r="V17" s="183"/>
      <c r="W17" s="183"/>
      <c r="X17" s="131">
        <v>16</v>
      </c>
      <c r="Y17" s="131">
        <v>2</v>
      </c>
      <c r="Z17" s="130">
        <v>101</v>
      </c>
      <c r="AA17" s="130">
        <v>49</v>
      </c>
      <c r="AB17" s="130">
        <v>30</v>
      </c>
      <c r="AC17" s="130">
        <v>8</v>
      </c>
      <c r="AD17" s="130">
        <v>10</v>
      </c>
      <c r="AE17" s="130">
        <v>8</v>
      </c>
      <c r="AF17" s="130">
        <v>6</v>
      </c>
      <c r="AG17" s="130">
        <v>2</v>
      </c>
      <c r="AH17" s="185">
        <v>25</v>
      </c>
      <c r="AI17" s="185">
        <v>10</v>
      </c>
      <c r="AJ17" s="185">
        <v>16</v>
      </c>
      <c r="AK17" s="185">
        <v>110</v>
      </c>
      <c r="AL17" s="185">
        <v>5</v>
      </c>
      <c r="AM17" s="185">
        <v>19</v>
      </c>
      <c r="AN17" s="185">
        <v>9</v>
      </c>
      <c r="AO17" s="185">
        <v>2</v>
      </c>
      <c r="AP17" s="185">
        <v>3</v>
      </c>
      <c r="AQ17" s="185">
        <v>25</v>
      </c>
      <c r="AR17" s="230">
        <v>10</v>
      </c>
      <c r="AS17" s="185"/>
      <c r="AT17" s="185">
        <v>0</v>
      </c>
      <c r="AU17" s="169">
        <v>2</v>
      </c>
      <c r="AV17" s="184">
        <v>1</v>
      </c>
      <c r="AW17" s="185"/>
      <c r="AX17" s="154">
        <v>1</v>
      </c>
      <c r="AY17" s="185">
        <v>456</v>
      </c>
      <c r="AZ17" s="131">
        <v>1</v>
      </c>
      <c r="BA17" s="131"/>
      <c r="BB17" s="130"/>
      <c r="BC17" s="130">
        <v>53</v>
      </c>
      <c r="BD17" s="130">
        <v>1</v>
      </c>
      <c r="BE17" s="130">
        <v>2</v>
      </c>
      <c r="BF17" s="130"/>
      <c r="BG17" s="130"/>
      <c r="BH17" s="130">
        <v>3</v>
      </c>
      <c r="BI17" s="130">
        <v>1</v>
      </c>
      <c r="BJ17" s="185"/>
      <c r="BK17" s="185">
        <v>15</v>
      </c>
      <c r="BL17" s="185">
        <v>5</v>
      </c>
      <c r="BM17" s="185">
        <v>6</v>
      </c>
      <c r="BN17" s="185">
        <v>17</v>
      </c>
      <c r="BO17" s="185"/>
      <c r="BP17" s="185">
        <v>5</v>
      </c>
      <c r="BQ17" s="185"/>
      <c r="BR17" s="185"/>
      <c r="BS17" s="185"/>
      <c r="BT17" s="227"/>
      <c r="BU17" s="185">
        <v>12</v>
      </c>
      <c r="BV17" s="185"/>
      <c r="BW17" s="185"/>
      <c r="BX17" s="184">
        <v>-1</v>
      </c>
      <c r="BY17" s="184"/>
      <c r="BZ17" s="154"/>
      <c r="CA17" s="185"/>
      <c r="CB17" s="130">
        <v>119</v>
      </c>
      <c r="CC17" s="130">
        <v>4</v>
      </c>
      <c r="CD17" s="130">
        <v>575</v>
      </c>
      <c r="CE17" s="130">
        <v>5</v>
      </c>
      <c r="CF17" s="130">
        <v>455</v>
      </c>
      <c r="CG17" s="130">
        <v>123</v>
      </c>
      <c r="CH17" s="220">
        <f>+CF17+CG17</f>
        <v>578</v>
      </c>
    </row>
    <row r="18" spans="1:86" x14ac:dyDescent="0.25">
      <c r="A18" s="14">
        <v>56</v>
      </c>
      <c r="B18" s="2" t="s">
        <v>59</v>
      </c>
      <c r="C18" s="15"/>
      <c r="D18" s="183">
        <v>-1</v>
      </c>
      <c r="E18" s="150">
        <v>138</v>
      </c>
      <c r="F18" s="150">
        <v>-1</v>
      </c>
      <c r="G18" s="136">
        <v>-1</v>
      </c>
      <c r="H18" s="136"/>
      <c r="I18" s="136"/>
      <c r="J18" s="136">
        <v>-1</v>
      </c>
      <c r="K18" s="136">
        <v>-13</v>
      </c>
      <c r="L18" s="136">
        <v>-2</v>
      </c>
      <c r="M18" s="136"/>
      <c r="N18" s="136"/>
      <c r="O18" s="136">
        <v>-2</v>
      </c>
      <c r="P18" s="136">
        <v>-1</v>
      </c>
      <c r="Q18" s="183">
        <v>-2</v>
      </c>
      <c r="R18" s="183"/>
      <c r="S18" s="183"/>
      <c r="T18" s="183">
        <v>-1</v>
      </c>
      <c r="U18" s="183"/>
      <c r="V18" s="183"/>
      <c r="W18" s="183">
        <v>-1</v>
      </c>
      <c r="X18" s="131">
        <v>144</v>
      </c>
      <c r="Y18" s="131">
        <v>4</v>
      </c>
      <c r="Z18" s="130">
        <v>15</v>
      </c>
      <c r="AA18" s="130">
        <v>9</v>
      </c>
      <c r="AB18" s="130">
        <v>15</v>
      </c>
      <c r="AC18" s="130">
        <v>14</v>
      </c>
      <c r="AD18" s="130">
        <v>33</v>
      </c>
      <c r="AE18" s="130">
        <v>88</v>
      </c>
      <c r="AF18" s="130">
        <v>8</v>
      </c>
      <c r="AG18" s="130">
        <v>6</v>
      </c>
      <c r="AH18" s="185">
        <v>13</v>
      </c>
      <c r="AI18" s="185">
        <v>32</v>
      </c>
      <c r="AJ18" s="185">
        <v>11</v>
      </c>
      <c r="AK18" s="185">
        <v>8</v>
      </c>
      <c r="AL18" s="185">
        <v>8</v>
      </c>
      <c r="AM18" s="185">
        <v>13</v>
      </c>
      <c r="AN18" s="185">
        <v>3</v>
      </c>
      <c r="AO18" s="185"/>
      <c r="AP18" s="185">
        <v>4</v>
      </c>
      <c r="AQ18" s="185">
        <v>7</v>
      </c>
      <c r="AR18" s="173">
        <v>0</v>
      </c>
      <c r="AS18" s="184">
        <v>6</v>
      </c>
      <c r="AT18" s="185">
        <v>0</v>
      </c>
      <c r="AU18" s="228">
        <v>9</v>
      </c>
      <c r="AV18" s="173">
        <v>3</v>
      </c>
      <c r="AW18" s="184">
        <v>5</v>
      </c>
      <c r="AX18" s="154">
        <v>4</v>
      </c>
      <c r="AY18" s="185">
        <v>437</v>
      </c>
      <c r="AZ18" s="131">
        <v>6</v>
      </c>
      <c r="BA18" s="131">
        <v>3</v>
      </c>
      <c r="BB18" s="130"/>
      <c r="BC18" s="130"/>
      <c r="BD18" s="130">
        <v>-1</v>
      </c>
      <c r="BE18" s="130"/>
      <c r="BF18" s="130">
        <v>13</v>
      </c>
      <c r="BG18" s="130">
        <v>16</v>
      </c>
      <c r="BH18" s="130">
        <v>39</v>
      </c>
      <c r="BI18" s="130">
        <v>5</v>
      </c>
      <c r="BJ18" s="185">
        <v>1</v>
      </c>
      <c r="BK18" s="185">
        <v>1</v>
      </c>
      <c r="BL18" s="185">
        <v>7</v>
      </c>
      <c r="BM18" s="185">
        <v>4</v>
      </c>
      <c r="BN18" s="185"/>
      <c r="BO18" s="185"/>
      <c r="BP18" s="185">
        <v>10</v>
      </c>
      <c r="BQ18" s="185"/>
      <c r="BR18" s="185">
        <v>2</v>
      </c>
      <c r="BS18" s="185">
        <v>3</v>
      </c>
      <c r="BT18" s="185"/>
      <c r="BU18" s="185">
        <v>1</v>
      </c>
      <c r="BV18" s="185">
        <v>6</v>
      </c>
      <c r="BW18" s="228">
        <v>1</v>
      </c>
      <c r="BX18" s="184">
        <v>-2</v>
      </c>
      <c r="BY18" s="185"/>
      <c r="BZ18" s="154">
        <v>1</v>
      </c>
      <c r="CA18" s="185"/>
      <c r="CB18" s="130">
        <v>110</v>
      </c>
      <c r="CC18" s="130">
        <v>3</v>
      </c>
      <c r="CD18" s="130">
        <v>547</v>
      </c>
      <c r="CE18" s="130">
        <v>9</v>
      </c>
      <c r="CF18" s="130">
        <v>442</v>
      </c>
      <c r="CG18" s="130">
        <v>113</v>
      </c>
      <c r="CH18" s="220">
        <f>+CF18+CG18</f>
        <v>555</v>
      </c>
    </row>
    <row r="19" spans="1:86" x14ac:dyDescent="0.25">
      <c r="A19" s="14">
        <v>77</v>
      </c>
      <c r="B19" s="2" t="s">
        <v>80</v>
      </c>
      <c r="C19" s="15"/>
      <c r="D19" s="183"/>
      <c r="E19" s="150">
        <v>73</v>
      </c>
      <c r="F19" s="150">
        <v>-4</v>
      </c>
      <c r="G19" s="136"/>
      <c r="H19" s="136"/>
      <c r="I19" s="136">
        <v>-3</v>
      </c>
      <c r="J19" s="136"/>
      <c r="K19" s="136"/>
      <c r="L19" s="136"/>
      <c r="M19" s="136"/>
      <c r="N19" s="136">
        <v>-1</v>
      </c>
      <c r="O19" s="136"/>
      <c r="P19" s="136">
        <v>-4</v>
      </c>
      <c r="Q19" s="183"/>
      <c r="R19" s="183">
        <v>-1</v>
      </c>
      <c r="S19" s="183"/>
      <c r="T19" s="183"/>
      <c r="U19" s="183"/>
      <c r="V19" s="183"/>
      <c r="W19" s="183"/>
      <c r="X19" s="131">
        <v>73</v>
      </c>
      <c r="Y19" s="131">
        <v>2</v>
      </c>
      <c r="Z19" s="130">
        <v>5</v>
      </c>
      <c r="AA19" s="130">
        <v>13</v>
      </c>
      <c r="AB19" s="130">
        <v>12</v>
      </c>
      <c r="AC19" s="130">
        <v>24</v>
      </c>
      <c r="AD19" s="130">
        <v>122</v>
      </c>
      <c r="AE19" s="130">
        <v>33</v>
      </c>
      <c r="AF19" s="130">
        <v>111</v>
      </c>
      <c r="AG19" s="130">
        <v>34</v>
      </c>
      <c r="AH19" s="185">
        <v>15</v>
      </c>
      <c r="AI19" s="185">
        <v>20</v>
      </c>
      <c r="AJ19" s="185">
        <v>7</v>
      </c>
      <c r="AK19" s="185">
        <v>1</v>
      </c>
      <c r="AL19" s="185">
        <v>6</v>
      </c>
      <c r="AM19" s="185">
        <v>7</v>
      </c>
      <c r="AN19" s="185">
        <v>4</v>
      </c>
      <c r="AO19" s="185">
        <v>5</v>
      </c>
      <c r="AP19" s="185">
        <v>1</v>
      </c>
      <c r="AQ19" s="185">
        <v>1</v>
      </c>
      <c r="AR19" s="185">
        <v>7</v>
      </c>
      <c r="AS19" s="185">
        <v>9</v>
      </c>
      <c r="AT19" s="185">
        <v>33</v>
      </c>
      <c r="AU19" s="185">
        <v>1</v>
      </c>
      <c r="AV19" s="184">
        <v>3</v>
      </c>
      <c r="AW19" s="185">
        <v>4</v>
      </c>
      <c r="AX19" s="154">
        <v>1</v>
      </c>
      <c r="AY19" s="185">
        <v>541</v>
      </c>
      <c r="AZ19" s="131">
        <v>1</v>
      </c>
      <c r="BA19" s="131">
        <v>4</v>
      </c>
      <c r="BB19" s="130"/>
      <c r="BC19" s="130">
        <v>-1</v>
      </c>
      <c r="BD19" s="130">
        <v>-1</v>
      </c>
      <c r="BE19" s="130"/>
      <c r="BF19" s="130"/>
      <c r="BG19" s="130"/>
      <c r="BH19" s="130"/>
      <c r="BI19" s="130"/>
      <c r="BJ19" s="185"/>
      <c r="BK19" s="185"/>
      <c r="BL19" s="185">
        <v>3</v>
      </c>
      <c r="BM19" s="185">
        <v>2</v>
      </c>
      <c r="BN19" s="185">
        <v>1</v>
      </c>
      <c r="BO19" s="185">
        <v>1</v>
      </c>
      <c r="BP19" s="185">
        <v>1</v>
      </c>
      <c r="BQ19" s="185"/>
      <c r="BR19" s="185">
        <v>1</v>
      </c>
      <c r="BS19" s="185"/>
      <c r="BT19" s="185"/>
      <c r="BU19" s="185"/>
      <c r="BV19" s="185"/>
      <c r="BW19" s="184"/>
      <c r="BX19" s="184"/>
      <c r="BY19" s="185"/>
      <c r="BZ19" s="154"/>
      <c r="CA19" s="185"/>
      <c r="CB19" s="130">
        <v>11</v>
      </c>
      <c r="CC19" s="130">
        <v>0</v>
      </c>
      <c r="CD19" s="130">
        <v>552</v>
      </c>
      <c r="CE19" s="130">
        <v>1</v>
      </c>
      <c r="CF19" s="130">
        <v>542</v>
      </c>
      <c r="CG19" s="130">
        <v>11</v>
      </c>
      <c r="CH19" s="220">
        <f>+CF19+CG19</f>
        <v>553</v>
      </c>
    </row>
    <row r="20" spans="1:86" x14ac:dyDescent="0.25">
      <c r="A20" s="14">
        <v>60</v>
      </c>
      <c r="B20" s="2" t="s">
        <v>63</v>
      </c>
      <c r="C20" s="15"/>
      <c r="D20" s="183"/>
      <c r="E20" s="150">
        <v>214</v>
      </c>
      <c r="F20" s="150"/>
      <c r="G20" s="136"/>
      <c r="H20" s="136">
        <v>-2</v>
      </c>
      <c r="I20" s="136"/>
      <c r="J20" s="136">
        <v>-6</v>
      </c>
      <c r="K20" s="136">
        <v>-1</v>
      </c>
      <c r="L20" s="136">
        <v>-2</v>
      </c>
      <c r="M20" s="136">
        <v>-2</v>
      </c>
      <c r="N20" s="136">
        <v>-1</v>
      </c>
      <c r="O20" s="136"/>
      <c r="P20" s="136">
        <v>-1</v>
      </c>
      <c r="Q20" s="183"/>
      <c r="R20" s="183">
        <v>-1</v>
      </c>
      <c r="S20" s="183"/>
      <c r="T20" s="183">
        <v>-1</v>
      </c>
      <c r="U20" s="183"/>
      <c r="V20" s="183"/>
      <c r="W20" s="183"/>
      <c r="X20" s="131">
        <v>213</v>
      </c>
      <c r="Y20" s="131">
        <v>26</v>
      </c>
      <c r="Z20" s="130">
        <v>3</v>
      </c>
      <c r="AA20" s="130">
        <v>31</v>
      </c>
      <c r="AB20" s="130">
        <v>6</v>
      </c>
      <c r="AC20" s="130">
        <v>50</v>
      </c>
      <c r="AD20" s="130">
        <v>6</v>
      </c>
      <c r="AE20" s="130">
        <v>11</v>
      </c>
      <c r="AF20" s="130">
        <v>12</v>
      </c>
      <c r="AG20" s="130">
        <v>14</v>
      </c>
      <c r="AH20" s="185">
        <v>2</v>
      </c>
      <c r="AI20" s="185">
        <v>3</v>
      </c>
      <c r="AJ20" s="185">
        <v>6</v>
      </c>
      <c r="AK20" s="185">
        <v>5</v>
      </c>
      <c r="AL20" s="185">
        <v>5</v>
      </c>
      <c r="AM20" s="185">
        <v>9</v>
      </c>
      <c r="AN20" s="185">
        <v>4</v>
      </c>
      <c r="AO20" s="185">
        <v>1</v>
      </c>
      <c r="AP20" s="185">
        <v>1</v>
      </c>
      <c r="AQ20" s="185">
        <v>7</v>
      </c>
      <c r="AR20" s="185">
        <v>37</v>
      </c>
      <c r="AS20" s="169">
        <v>42</v>
      </c>
      <c r="AT20" s="185">
        <v>18</v>
      </c>
      <c r="AU20" s="169">
        <v>12</v>
      </c>
      <c r="AV20" s="184">
        <v>1</v>
      </c>
      <c r="AW20" s="185">
        <v>19</v>
      </c>
      <c r="AX20" s="154">
        <v>1</v>
      </c>
      <c r="AY20" s="185">
        <v>528</v>
      </c>
      <c r="AZ20" s="131">
        <v>1</v>
      </c>
      <c r="BA20" s="131">
        <v>2</v>
      </c>
      <c r="BB20" s="130">
        <v>1</v>
      </c>
      <c r="BC20" s="130">
        <v>-1</v>
      </c>
      <c r="BD20" s="130"/>
      <c r="BE20" s="130"/>
      <c r="BF20" s="130"/>
      <c r="BG20" s="130">
        <v>1</v>
      </c>
      <c r="BH20" s="130">
        <v>1</v>
      </c>
      <c r="BI20" s="130"/>
      <c r="BJ20" s="185">
        <v>2</v>
      </c>
      <c r="BK20" s="185"/>
      <c r="BL20" s="185"/>
      <c r="BM20" s="185">
        <v>1</v>
      </c>
      <c r="BN20" s="185">
        <v>1</v>
      </c>
      <c r="BO20" s="185">
        <v>1</v>
      </c>
      <c r="BP20" s="185">
        <v>1</v>
      </c>
      <c r="BQ20" s="185"/>
      <c r="BR20" s="185"/>
      <c r="BS20" s="185"/>
      <c r="BT20" s="185"/>
      <c r="BU20" s="185"/>
      <c r="BV20" s="185"/>
      <c r="BW20" s="185"/>
      <c r="BX20" s="185"/>
      <c r="BY20" s="184"/>
      <c r="BZ20" s="154"/>
      <c r="CA20" s="185"/>
      <c r="CB20" s="130">
        <v>10</v>
      </c>
      <c r="CC20" s="130">
        <v>0</v>
      </c>
      <c r="CD20" s="130">
        <v>538</v>
      </c>
      <c r="CE20" s="130">
        <v>1</v>
      </c>
      <c r="CF20" s="130">
        <v>529</v>
      </c>
      <c r="CG20" s="130">
        <v>10</v>
      </c>
      <c r="CH20" s="220">
        <f>+CF20+CG20</f>
        <v>539</v>
      </c>
    </row>
    <row r="21" spans="1:86" x14ac:dyDescent="0.25">
      <c r="A21" s="14">
        <v>38</v>
      </c>
      <c r="B21" s="2" t="s">
        <v>41</v>
      </c>
      <c r="C21" s="15"/>
      <c r="D21" s="183">
        <v>-1</v>
      </c>
      <c r="E21" s="150">
        <v>146</v>
      </c>
      <c r="F21" s="150"/>
      <c r="G21" s="136">
        <v>-1</v>
      </c>
      <c r="H21" s="136"/>
      <c r="I21" s="136">
        <v>-2</v>
      </c>
      <c r="J21" s="136">
        <v>-1</v>
      </c>
      <c r="K21" s="136">
        <v>-10</v>
      </c>
      <c r="L21" s="136">
        <v>-2</v>
      </c>
      <c r="M21" s="136">
        <v>-1</v>
      </c>
      <c r="N21" s="136">
        <v>-1</v>
      </c>
      <c r="O21" s="136">
        <v>-1</v>
      </c>
      <c r="P21" s="136"/>
      <c r="Q21" s="183">
        <v>-3</v>
      </c>
      <c r="R21" s="183">
        <v>-1</v>
      </c>
      <c r="S21" s="183"/>
      <c r="T21" s="183"/>
      <c r="U21" s="183"/>
      <c r="V21" s="183"/>
      <c r="W21" s="183"/>
      <c r="X21" s="131">
        <v>147</v>
      </c>
      <c r="Y21" s="131">
        <v>11</v>
      </c>
      <c r="Z21" s="130">
        <v>15</v>
      </c>
      <c r="AA21" s="130">
        <v>8</v>
      </c>
      <c r="AB21" s="130">
        <v>28</v>
      </c>
      <c r="AC21" s="130">
        <v>14</v>
      </c>
      <c r="AD21" s="130">
        <v>73</v>
      </c>
      <c r="AE21" s="130">
        <v>16</v>
      </c>
      <c r="AF21" s="130">
        <v>10</v>
      </c>
      <c r="AG21" s="130">
        <v>13</v>
      </c>
      <c r="AH21" s="185">
        <v>12</v>
      </c>
      <c r="AI21" s="185">
        <v>6</v>
      </c>
      <c r="AJ21" s="185">
        <v>8</v>
      </c>
      <c r="AK21" s="185">
        <v>15</v>
      </c>
      <c r="AL21" s="185">
        <v>12</v>
      </c>
      <c r="AM21" s="185">
        <v>12</v>
      </c>
      <c r="AN21" s="173">
        <v>12</v>
      </c>
      <c r="AO21" s="185">
        <v>1</v>
      </c>
      <c r="AP21" s="185">
        <v>5</v>
      </c>
      <c r="AQ21" s="185">
        <v>18</v>
      </c>
      <c r="AR21" s="184">
        <v>37</v>
      </c>
      <c r="AS21" s="184">
        <v>14</v>
      </c>
      <c r="AT21" s="169">
        <v>8</v>
      </c>
      <c r="AU21" s="169">
        <v>2</v>
      </c>
      <c r="AV21" s="184">
        <v>1</v>
      </c>
      <c r="AW21" s="184">
        <v>4</v>
      </c>
      <c r="AX21" s="154">
        <v>7</v>
      </c>
      <c r="AY21" s="185">
        <v>486</v>
      </c>
      <c r="AZ21" s="131">
        <v>28</v>
      </c>
      <c r="BA21" s="131">
        <v>5</v>
      </c>
      <c r="BB21" s="130"/>
      <c r="BC21" s="130"/>
      <c r="BD21" s="130">
        <v>-2</v>
      </c>
      <c r="BE21" s="130"/>
      <c r="BF21" s="130"/>
      <c r="BG21" s="130">
        <v>2</v>
      </c>
      <c r="BH21" s="130">
        <v>1</v>
      </c>
      <c r="BI21" s="130"/>
      <c r="BJ21" s="185">
        <v>1</v>
      </c>
      <c r="BK21" s="185"/>
      <c r="BL21" s="185"/>
      <c r="BM21" s="185">
        <v>2</v>
      </c>
      <c r="BN21" s="185"/>
      <c r="BO21" s="185">
        <v>2</v>
      </c>
      <c r="BP21" s="185">
        <v>2</v>
      </c>
      <c r="BQ21" s="185"/>
      <c r="BR21" s="185">
        <v>1</v>
      </c>
      <c r="BS21" s="185"/>
      <c r="BT21" s="185">
        <v>4</v>
      </c>
      <c r="BU21" s="185"/>
      <c r="BV21" s="185"/>
      <c r="BW21" s="185">
        <v>-1</v>
      </c>
      <c r="BX21" s="184">
        <v>1</v>
      </c>
      <c r="BY21" s="185"/>
      <c r="BZ21" s="154"/>
      <c r="CA21" s="185">
        <v>0</v>
      </c>
      <c r="CB21" s="130">
        <v>18</v>
      </c>
      <c r="CC21" s="130">
        <v>0</v>
      </c>
      <c r="CD21" s="130">
        <v>504</v>
      </c>
      <c r="CE21" s="130">
        <v>28</v>
      </c>
      <c r="CF21" s="130">
        <v>513</v>
      </c>
      <c r="CG21" s="130">
        <v>18</v>
      </c>
      <c r="CH21" s="220">
        <f>+CF21+CG21</f>
        <v>531</v>
      </c>
    </row>
    <row r="22" spans="1:86" x14ac:dyDescent="0.25">
      <c r="A22" s="14">
        <v>78</v>
      </c>
      <c r="B22" s="2" t="s">
        <v>81</v>
      </c>
      <c r="C22" s="22"/>
      <c r="D22" s="183"/>
      <c r="E22" s="150">
        <v>119</v>
      </c>
      <c r="F22" s="150"/>
      <c r="G22" s="136">
        <v>-1</v>
      </c>
      <c r="H22" s="136">
        <v>-1</v>
      </c>
      <c r="I22" s="136">
        <v>-1</v>
      </c>
      <c r="J22" s="136">
        <v>-2</v>
      </c>
      <c r="K22" s="136">
        <v>-1</v>
      </c>
      <c r="L22" s="136">
        <v>-1</v>
      </c>
      <c r="M22" s="136">
        <v>-3</v>
      </c>
      <c r="N22" s="136"/>
      <c r="O22" s="136"/>
      <c r="P22" s="136">
        <v>-1</v>
      </c>
      <c r="Q22" s="183">
        <v>-1</v>
      </c>
      <c r="R22" s="183">
        <v>-1</v>
      </c>
      <c r="S22" s="183">
        <v>-2</v>
      </c>
      <c r="T22" s="183"/>
      <c r="U22" s="183"/>
      <c r="V22" s="183">
        <v>-1</v>
      </c>
      <c r="W22" s="183"/>
      <c r="X22" s="131">
        <v>122</v>
      </c>
      <c r="Y22" s="131">
        <v>7</v>
      </c>
      <c r="Z22" s="130">
        <v>9</v>
      </c>
      <c r="AA22" s="130">
        <v>19</v>
      </c>
      <c r="AB22" s="130">
        <v>21</v>
      </c>
      <c r="AC22" s="130">
        <v>40</v>
      </c>
      <c r="AD22" s="130">
        <v>24</v>
      </c>
      <c r="AE22" s="130">
        <v>28</v>
      </c>
      <c r="AF22" s="130">
        <v>36</v>
      </c>
      <c r="AG22" s="130">
        <v>11</v>
      </c>
      <c r="AH22" s="185">
        <v>12</v>
      </c>
      <c r="AI22" s="185">
        <v>31</v>
      </c>
      <c r="AJ22" s="185">
        <v>16</v>
      </c>
      <c r="AK22" s="185">
        <v>15</v>
      </c>
      <c r="AL22" s="185">
        <v>15</v>
      </c>
      <c r="AM22" s="185">
        <v>6</v>
      </c>
      <c r="AN22" s="184">
        <v>1</v>
      </c>
      <c r="AO22" s="185">
        <v>10</v>
      </c>
      <c r="AP22" s="185">
        <v>1</v>
      </c>
      <c r="AQ22" s="185">
        <v>2</v>
      </c>
      <c r="AR22" s="185">
        <v>1</v>
      </c>
      <c r="AS22" s="173">
        <v>4</v>
      </c>
      <c r="AT22" s="185">
        <v>1</v>
      </c>
      <c r="AU22" s="185">
        <v>7</v>
      </c>
      <c r="AV22" s="184">
        <v>10</v>
      </c>
      <c r="AW22" s="185">
        <v>5</v>
      </c>
      <c r="AX22" s="154">
        <v>1</v>
      </c>
      <c r="AY22" s="185">
        <v>439</v>
      </c>
      <c r="AZ22" s="131">
        <v>2</v>
      </c>
      <c r="BA22" s="131">
        <v>7</v>
      </c>
      <c r="BB22" s="130"/>
      <c r="BC22" s="130">
        <v>1</v>
      </c>
      <c r="BD22" s="130">
        <v>3</v>
      </c>
      <c r="BE22" s="130">
        <v>1</v>
      </c>
      <c r="BF22" s="130"/>
      <c r="BG22" s="130">
        <v>1</v>
      </c>
      <c r="BH22" s="130"/>
      <c r="BI22" s="130"/>
      <c r="BJ22" s="185">
        <v>1</v>
      </c>
      <c r="BK22" s="185">
        <v>2</v>
      </c>
      <c r="BL22" s="185">
        <v>3</v>
      </c>
      <c r="BM22" s="185">
        <v>3</v>
      </c>
      <c r="BN22" s="185">
        <v>1</v>
      </c>
      <c r="BO22" s="185"/>
      <c r="BP22" s="185"/>
      <c r="BQ22" s="185"/>
      <c r="BR22" s="185"/>
      <c r="BS22" s="185"/>
      <c r="BT22" s="185"/>
      <c r="BU22" s="185"/>
      <c r="BV22" s="185">
        <v>1</v>
      </c>
      <c r="BW22" s="184">
        <v>1</v>
      </c>
      <c r="BX22" s="184"/>
      <c r="BY22" s="185"/>
      <c r="BZ22" s="154">
        <v>22</v>
      </c>
      <c r="CA22" s="185"/>
      <c r="CB22" s="130">
        <v>47</v>
      </c>
      <c r="CC22" s="130">
        <v>0</v>
      </c>
      <c r="CD22" s="130">
        <v>486</v>
      </c>
      <c r="CE22" s="130">
        <v>2</v>
      </c>
      <c r="CF22" s="130">
        <v>441</v>
      </c>
      <c r="CG22" s="130">
        <v>47</v>
      </c>
      <c r="CH22" s="220">
        <f>+CF22+CG22</f>
        <v>488</v>
      </c>
    </row>
    <row r="23" spans="1:86" x14ac:dyDescent="0.25">
      <c r="A23" s="14">
        <v>69</v>
      </c>
      <c r="B23" s="2" t="s">
        <v>72</v>
      </c>
      <c r="C23" s="22"/>
      <c r="D23" s="183">
        <v>-15</v>
      </c>
      <c r="E23" s="150">
        <v>107</v>
      </c>
      <c r="F23" s="150"/>
      <c r="G23" s="136">
        <v>-9</v>
      </c>
      <c r="H23" s="136"/>
      <c r="I23" s="136">
        <v>-3</v>
      </c>
      <c r="J23" s="136">
        <v>-1</v>
      </c>
      <c r="K23" s="136"/>
      <c r="L23" s="136">
        <v>-6</v>
      </c>
      <c r="M23" s="136"/>
      <c r="N23" s="136"/>
      <c r="O23" s="136">
        <v>-3</v>
      </c>
      <c r="P23" s="136"/>
      <c r="Q23" s="183"/>
      <c r="R23" s="183">
        <v>-2</v>
      </c>
      <c r="S23" s="183">
        <v>-1</v>
      </c>
      <c r="T23" s="183"/>
      <c r="U23" s="183">
        <v>-1</v>
      </c>
      <c r="V23" s="183"/>
      <c r="W23" s="183"/>
      <c r="X23" s="131">
        <v>103</v>
      </c>
      <c r="Y23" s="131">
        <v>13</v>
      </c>
      <c r="Z23" s="130">
        <v>22</v>
      </c>
      <c r="AA23" s="130">
        <v>14</v>
      </c>
      <c r="AB23" s="130">
        <v>19</v>
      </c>
      <c r="AC23" s="130">
        <v>57</v>
      </c>
      <c r="AD23" s="130">
        <v>16</v>
      </c>
      <c r="AE23" s="130">
        <v>55</v>
      </c>
      <c r="AF23" s="130">
        <v>22</v>
      </c>
      <c r="AG23" s="130">
        <v>13</v>
      </c>
      <c r="AH23" s="185">
        <v>7</v>
      </c>
      <c r="AI23" s="185">
        <v>6</v>
      </c>
      <c r="AJ23" s="185">
        <v>7</v>
      </c>
      <c r="AK23" s="185">
        <v>67</v>
      </c>
      <c r="AL23" s="185">
        <v>9</v>
      </c>
      <c r="AM23" s="185">
        <v>8</v>
      </c>
      <c r="AN23" s="184">
        <v>3</v>
      </c>
      <c r="AO23" s="185"/>
      <c r="AP23" s="185">
        <v>1</v>
      </c>
      <c r="AQ23" s="185">
        <v>5</v>
      </c>
      <c r="AR23" s="185">
        <v>2</v>
      </c>
      <c r="AS23" s="184">
        <v>6</v>
      </c>
      <c r="AT23" s="185"/>
      <c r="AU23" s="185">
        <v>3</v>
      </c>
      <c r="AV23" s="184">
        <v>7</v>
      </c>
      <c r="AW23" s="185">
        <v>2</v>
      </c>
      <c r="AX23" s="154">
        <v>5</v>
      </c>
      <c r="AY23" s="185">
        <v>447</v>
      </c>
      <c r="AZ23" s="131">
        <v>5</v>
      </c>
      <c r="BA23" s="131">
        <v>5</v>
      </c>
      <c r="BB23" s="130">
        <v>3</v>
      </c>
      <c r="BC23" s="130">
        <v>1</v>
      </c>
      <c r="BD23" s="130"/>
      <c r="BE23" s="130"/>
      <c r="BF23" s="130"/>
      <c r="BG23" s="130">
        <v>18</v>
      </c>
      <c r="BH23" s="130">
        <v>10</v>
      </c>
      <c r="BI23" s="130">
        <v>2</v>
      </c>
      <c r="BJ23" s="185"/>
      <c r="BK23" s="185">
        <v>1</v>
      </c>
      <c r="BL23" s="185">
        <v>1</v>
      </c>
      <c r="BM23" s="185">
        <v>1</v>
      </c>
      <c r="BN23" s="185"/>
      <c r="BO23" s="185">
        <v>1</v>
      </c>
      <c r="BP23" s="185"/>
      <c r="BQ23" s="185"/>
      <c r="BR23" s="185">
        <v>1</v>
      </c>
      <c r="BS23" s="185"/>
      <c r="BT23" s="185"/>
      <c r="BU23" s="185"/>
      <c r="BV23" s="185"/>
      <c r="BW23" s="185"/>
      <c r="BX23" s="184"/>
      <c r="BY23" s="185"/>
      <c r="BZ23" s="154">
        <v>2</v>
      </c>
      <c r="CA23" s="185"/>
      <c r="CB23" s="130">
        <v>45</v>
      </c>
      <c r="CC23" s="130">
        <v>0</v>
      </c>
      <c r="CD23" s="130">
        <v>492</v>
      </c>
      <c r="CE23" s="130">
        <v>5</v>
      </c>
      <c r="CF23" s="130">
        <v>437</v>
      </c>
      <c r="CG23" s="130">
        <v>45</v>
      </c>
      <c r="CH23" s="220">
        <f>+CF23+CG23</f>
        <v>482</v>
      </c>
    </row>
    <row r="24" spans="1:86" x14ac:dyDescent="0.25">
      <c r="A24" s="14">
        <v>34</v>
      </c>
      <c r="B24" s="2" t="s">
        <v>37</v>
      </c>
      <c r="C24" s="22"/>
      <c r="D24" s="183">
        <v>-6</v>
      </c>
      <c r="E24" s="150">
        <v>70</v>
      </c>
      <c r="F24" s="150"/>
      <c r="G24" s="136"/>
      <c r="H24" s="136"/>
      <c r="I24" s="136"/>
      <c r="J24" s="136"/>
      <c r="K24" s="136">
        <v>-2</v>
      </c>
      <c r="L24" s="136"/>
      <c r="M24" s="136">
        <v>-2</v>
      </c>
      <c r="N24" s="136">
        <v>-1</v>
      </c>
      <c r="O24" s="136">
        <v>-3</v>
      </c>
      <c r="P24" s="136"/>
      <c r="Q24" s="183"/>
      <c r="R24" s="183"/>
      <c r="S24" s="183">
        <v>-2</v>
      </c>
      <c r="T24" s="183">
        <v>-2</v>
      </c>
      <c r="U24" s="183">
        <v>-1</v>
      </c>
      <c r="V24" s="183"/>
      <c r="W24" s="183"/>
      <c r="X24" s="131">
        <v>76</v>
      </c>
      <c r="Y24" s="131">
        <v>2</v>
      </c>
      <c r="Z24" s="130">
        <v>20</v>
      </c>
      <c r="AA24" s="130">
        <v>9</v>
      </c>
      <c r="AB24" s="130">
        <v>9</v>
      </c>
      <c r="AC24" s="130">
        <v>11</v>
      </c>
      <c r="AD24" s="130">
        <v>72</v>
      </c>
      <c r="AE24" s="130">
        <v>1</v>
      </c>
      <c r="AF24" s="130">
        <v>28</v>
      </c>
      <c r="AG24" s="130">
        <v>46</v>
      </c>
      <c r="AH24" s="185">
        <v>29</v>
      </c>
      <c r="AI24" s="185">
        <v>6</v>
      </c>
      <c r="AJ24" s="185">
        <v>5</v>
      </c>
      <c r="AK24" s="185">
        <v>15</v>
      </c>
      <c r="AL24" s="185">
        <v>19</v>
      </c>
      <c r="AM24" s="185">
        <v>27</v>
      </c>
      <c r="AN24" s="184">
        <v>4</v>
      </c>
      <c r="AO24" s="185">
        <v>11</v>
      </c>
      <c r="AP24" s="185">
        <v>6</v>
      </c>
      <c r="AQ24" s="185">
        <v>15</v>
      </c>
      <c r="AR24" s="173">
        <v>4</v>
      </c>
      <c r="AS24" s="173">
        <v>9</v>
      </c>
      <c r="AT24" s="185">
        <v>1</v>
      </c>
      <c r="AU24" s="225">
        <v>4</v>
      </c>
      <c r="AV24" s="184">
        <v>5</v>
      </c>
      <c r="AW24" s="185">
        <v>2</v>
      </c>
      <c r="AX24" s="154">
        <v>4</v>
      </c>
      <c r="AY24" s="185">
        <v>428</v>
      </c>
      <c r="AZ24" s="131">
        <v>45</v>
      </c>
      <c r="BA24" s="131">
        <v>5</v>
      </c>
      <c r="BB24" s="130"/>
      <c r="BC24" s="130"/>
      <c r="BD24" s="130">
        <v>-5</v>
      </c>
      <c r="BE24" s="130"/>
      <c r="BF24" s="130"/>
      <c r="BG24" s="130">
        <v>1</v>
      </c>
      <c r="BH24" s="130"/>
      <c r="BI24" s="130"/>
      <c r="BJ24" s="185">
        <v>1</v>
      </c>
      <c r="BK24" s="185">
        <v>2</v>
      </c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227">
        <v>1</v>
      </c>
      <c r="BX24" s="184"/>
      <c r="BY24" s="185"/>
      <c r="BZ24" s="154"/>
      <c r="CA24" s="185">
        <v>0</v>
      </c>
      <c r="CB24" s="130">
        <v>4</v>
      </c>
      <c r="CC24" s="130">
        <v>5</v>
      </c>
      <c r="CD24" s="130">
        <v>432</v>
      </c>
      <c r="CE24" s="130">
        <v>50</v>
      </c>
      <c r="CF24" s="130">
        <v>467</v>
      </c>
      <c r="CG24" s="130">
        <v>9</v>
      </c>
      <c r="CH24" s="220">
        <f>+CF24+CG24</f>
        <v>476</v>
      </c>
    </row>
    <row r="25" spans="1:86" x14ac:dyDescent="0.25">
      <c r="A25" s="14">
        <v>89</v>
      </c>
      <c r="B25" s="2" t="s">
        <v>92</v>
      </c>
      <c r="C25" s="22"/>
      <c r="D25" s="183">
        <v>-2</v>
      </c>
      <c r="E25" s="150">
        <v>130</v>
      </c>
      <c r="F25" s="150">
        <v>-1</v>
      </c>
      <c r="G25" s="136"/>
      <c r="H25" s="136">
        <v>-2</v>
      </c>
      <c r="I25" s="136"/>
      <c r="J25" s="136">
        <v>-1</v>
      </c>
      <c r="K25" s="136">
        <v>-1</v>
      </c>
      <c r="L25" s="136"/>
      <c r="M25" s="136">
        <v>-1</v>
      </c>
      <c r="N25" s="136">
        <v>-1</v>
      </c>
      <c r="O25" s="136"/>
      <c r="P25" s="136"/>
      <c r="Q25" s="183">
        <v>-3</v>
      </c>
      <c r="R25" s="183"/>
      <c r="S25" s="183">
        <v>-2</v>
      </c>
      <c r="T25" s="183"/>
      <c r="U25" s="183">
        <v>-1</v>
      </c>
      <c r="V25" s="183"/>
      <c r="W25" s="183"/>
      <c r="X25" s="131">
        <v>136</v>
      </c>
      <c r="Y25" s="131"/>
      <c r="Z25" s="130">
        <v>8</v>
      </c>
      <c r="AA25" s="130">
        <v>39</v>
      </c>
      <c r="AB25" s="130">
        <v>30</v>
      </c>
      <c r="AC25" s="130">
        <v>49</v>
      </c>
      <c r="AD25" s="130">
        <v>15</v>
      </c>
      <c r="AE25" s="130">
        <v>4</v>
      </c>
      <c r="AF25" s="130">
        <v>23</v>
      </c>
      <c r="AG25" s="130">
        <v>11</v>
      </c>
      <c r="AH25" s="185">
        <v>9</v>
      </c>
      <c r="AI25" s="185">
        <v>7</v>
      </c>
      <c r="AJ25" s="185">
        <v>40</v>
      </c>
      <c r="AK25" s="185">
        <v>16</v>
      </c>
      <c r="AL25" s="185">
        <v>16</v>
      </c>
      <c r="AM25" s="185"/>
      <c r="AN25" s="184">
        <v>2</v>
      </c>
      <c r="AO25" s="185">
        <v>8</v>
      </c>
      <c r="AP25" s="185">
        <v>2</v>
      </c>
      <c r="AQ25" s="185">
        <v>2</v>
      </c>
      <c r="AR25" s="185">
        <v>4</v>
      </c>
      <c r="AS25" s="173">
        <v>1</v>
      </c>
      <c r="AT25" s="185"/>
      <c r="AU25" s="185"/>
      <c r="AV25" s="184">
        <v>3</v>
      </c>
      <c r="AW25" s="185">
        <v>8</v>
      </c>
      <c r="AX25" s="154">
        <v>1</v>
      </c>
      <c r="AY25" s="185">
        <v>421</v>
      </c>
      <c r="AZ25" s="131">
        <v>17</v>
      </c>
      <c r="BA25" s="131"/>
      <c r="BB25" s="130"/>
      <c r="BC25" s="130">
        <v>6</v>
      </c>
      <c r="BD25" s="130">
        <v>1</v>
      </c>
      <c r="BE25" s="130"/>
      <c r="BF25" s="130">
        <v>2</v>
      </c>
      <c r="BG25" s="130">
        <v>4</v>
      </c>
      <c r="BH25" s="130"/>
      <c r="BI25" s="130">
        <v>3</v>
      </c>
      <c r="BJ25" s="185">
        <v>6</v>
      </c>
      <c r="BK25" s="185">
        <v>1</v>
      </c>
      <c r="BL25" s="185">
        <v>3</v>
      </c>
      <c r="BM25" s="185">
        <v>2</v>
      </c>
      <c r="BN25" s="185">
        <v>1</v>
      </c>
      <c r="BO25" s="185">
        <v>0</v>
      </c>
      <c r="BP25" s="185"/>
      <c r="BQ25" s="185"/>
      <c r="BR25" s="185"/>
      <c r="BS25" s="185"/>
      <c r="BT25" s="185"/>
      <c r="BU25" s="185"/>
      <c r="BV25" s="185"/>
      <c r="BW25" s="185"/>
      <c r="BX25" s="184"/>
      <c r="BY25" s="185"/>
      <c r="BZ25" s="154">
        <v>1</v>
      </c>
      <c r="CA25" s="185"/>
      <c r="CB25" s="130">
        <v>30</v>
      </c>
      <c r="CC25" s="130">
        <v>0</v>
      </c>
      <c r="CD25" s="130">
        <v>451</v>
      </c>
      <c r="CE25" s="130">
        <v>17</v>
      </c>
      <c r="CF25" s="130">
        <v>436</v>
      </c>
      <c r="CG25" s="130">
        <v>30</v>
      </c>
      <c r="CH25" s="220">
        <f>+CF25+CG25</f>
        <v>466</v>
      </c>
    </row>
    <row r="26" spans="1:86" x14ac:dyDescent="0.25">
      <c r="A26" s="14">
        <v>37</v>
      </c>
      <c r="B26" s="2" t="s">
        <v>40</v>
      </c>
      <c r="C26" s="22"/>
      <c r="D26" s="183"/>
      <c r="E26" s="150">
        <v>56</v>
      </c>
      <c r="F26" s="150"/>
      <c r="G26" s="136"/>
      <c r="H26" s="136"/>
      <c r="I26" s="136"/>
      <c r="J26" s="136">
        <v>-2</v>
      </c>
      <c r="K26" s="136"/>
      <c r="L26" s="136">
        <v>-2</v>
      </c>
      <c r="M26" s="136"/>
      <c r="N26" s="136"/>
      <c r="O26" s="136"/>
      <c r="P26" s="136">
        <v>-1</v>
      </c>
      <c r="Q26" s="183"/>
      <c r="R26" s="183"/>
      <c r="S26" s="183"/>
      <c r="T26" s="183"/>
      <c r="U26" s="183"/>
      <c r="V26" s="183"/>
      <c r="W26" s="183"/>
      <c r="X26" s="131">
        <v>49</v>
      </c>
      <c r="Y26" s="131">
        <v>9</v>
      </c>
      <c r="Z26" s="130">
        <v>6</v>
      </c>
      <c r="AA26" s="130">
        <v>12</v>
      </c>
      <c r="AB26" s="130">
        <v>10</v>
      </c>
      <c r="AC26" s="130">
        <v>10</v>
      </c>
      <c r="AD26" s="130">
        <v>6</v>
      </c>
      <c r="AE26" s="130">
        <v>41</v>
      </c>
      <c r="AF26" s="130">
        <v>76</v>
      </c>
      <c r="AG26" s="130">
        <v>11</v>
      </c>
      <c r="AH26" s="185">
        <v>21</v>
      </c>
      <c r="AI26" s="185">
        <v>38</v>
      </c>
      <c r="AJ26" s="185">
        <v>12</v>
      </c>
      <c r="AK26" s="185">
        <v>3</v>
      </c>
      <c r="AL26" s="185">
        <v>75</v>
      </c>
      <c r="AM26" s="185">
        <v>1</v>
      </c>
      <c r="AN26" s="185">
        <v>9</v>
      </c>
      <c r="AO26" s="185"/>
      <c r="AP26" s="169">
        <v>1</v>
      </c>
      <c r="AQ26" s="169">
        <v>3</v>
      </c>
      <c r="AR26" s="173">
        <v>4</v>
      </c>
      <c r="AS26" s="184">
        <v>2</v>
      </c>
      <c r="AT26" s="169">
        <v>10</v>
      </c>
      <c r="AU26" s="169">
        <v>8</v>
      </c>
      <c r="AV26" s="184">
        <v>1</v>
      </c>
      <c r="AW26" s="184">
        <v>3</v>
      </c>
      <c r="AX26" s="154">
        <v>1</v>
      </c>
      <c r="AY26" s="185">
        <v>417</v>
      </c>
      <c r="AZ26" s="131">
        <v>23</v>
      </c>
      <c r="BA26" s="131">
        <v>7</v>
      </c>
      <c r="BB26" s="130"/>
      <c r="BC26" s="130">
        <v>6</v>
      </c>
      <c r="BD26" s="130">
        <v>-12</v>
      </c>
      <c r="BE26" s="130"/>
      <c r="BF26" s="130"/>
      <c r="BG26" s="130"/>
      <c r="BH26" s="130">
        <v>3</v>
      </c>
      <c r="BI26" s="130"/>
      <c r="BJ26" s="185"/>
      <c r="BK26" s="185"/>
      <c r="BL26" s="185"/>
      <c r="BM26" s="185"/>
      <c r="BN26" s="185"/>
      <c r="BO26" s="185">
        <v>1</v>
      </c>
      <c r="BP26" s="185">
        <v>1</v>
      </c>
      <c r="BQ26" s="185">
        <v>1</v>
      </c>
      <c r="BR26" s="185"/>
      <c r="BS26" s="169">
        <v>1</v>
      </c>
      <c r="BT26" s="185"/>
      <c r="BU26" s="185"/>
      <c r="BV26" s="185"/>
      <c r="BW26" s="184"/>
      <c r="BX26" s="184"/>
      <c r="BY26" s="185"/>
      <c r="BZ26" s="154"/>
      <c r="CA26" s="185">
        <v>0</v>
      </c>
      <c r="CB26" s="130">
        <v>8</v>
      </c>
      <c r="CC26" s="130">
        <v>0</v>
      </c>
      <c r="CD26" s="130">
        <v>425</v>
      </c>
      <c r="CE26" s="130">
        <v>23</v>
      </c>
      <c r="CF26" s="130">
        <v>440</v>
      </c>
      <c r="CG26" s="130">
        <v>8</v>
      </c>
      <c r="CH26" s="220">
        <f>+CF26+CG26</f>
        <v>448</v>
      </c>
    </row>
    <row r="27" spans="1:86" x14ac:dyDescent="0.25">
      <c r="A27" s="14">
        <v>26</v>
      </c>
      <c r="B27" s="2" t="s">
        <v>29</v>
      </c>
      <c r="C27" s="15"/>
      <c r="D27" s="183">
        <v>-2</v>
      </c>
      <c r="E27" s="150">
        <v>117</v>
      </c>
      <c r="F27" s="150"/>
      <c r="G27" s="136">
        <v>-1</v>
      </c>
      <c r="H27" s="136"/>
      <c r="I27" s="136"/>
      <c r="J27" s="136"/>
      <c r="K27" s="136">
        <v>-2</v>
      </c>
      <c r="L27" s="136"/>
      <c r="M27" s="136">
        <v>-1</v>
      </c>
      <c r="N27" s="136">
        <v>-2</v>
      </c>
      <c r="O27" s="136"/>
      <c r="P27" s="136"/>
      <c r="Q27" s="183"/>
      <c r="R27" s="183"/>
      <c r="S27" s="183">
        <v>-5</v>
      </c>
      <c r="T27" s="183">
        <v>-1</v>
      </c>
      <c r="U27" s="183"/>
      <c r="V27" s="183">
        <v>-1</v>
      </c>
      <c r="W27" s="183"/>
      <c r="X27" s="131">
        <v>135</v>
      </c>
      <c r="Y27" s="131">
        <v>21</v>
      </c>
      <c r="Z27" s="130">
        <v>4</v>
      </c>
      <c r="AA27" s="130">
        <v>3</v>
      </c>
      <c r="AB27" s="130">
        <v>15</v>
      </c>
      <c r="AC27" s="130">
        <v>39</v>
      </c>
      <c r="AD27" s="130">
        <v>35</v>
      </c>
      <c r="AE27" s="130">
        <v>22</v>
      </c>
      <c r="AF27" s="130">
        <v>4</v>
      </c>
      <c r="AG27" s="130">
        <v>8</v>
      </c>
      <c r="AH27" s="185">
        <v>3</v>
      </c>
      <c r="AI27" s="185">
        <v>4</v>
      </c>
      <c r="AJ27" s="185">
        <v>4</v>
      </c>
      <c r="AK27" s="185">
        <v>16</v>
      </c>
      <c r="AL27" s="185">
        <v>36</v>
      </c>
      <c r="AM27" s="185">
        <v>12</v>
      </c>
      <c r="AN27" s="184">
        <v>19</v>
      </c>
      <c r="AO27" s="185">
        <v>3</v>
      </c>
      <c r="AP27" s="185">
        <v>11</v>
      </c>
      <c r="AQ27" s="185">
        <v>5</v>
      </c>
      <c r="AR27" s="184">
        <v>14</v>
      </c>
      <c r="AS27" s="184">
        <v>3</v>
      </c>
      <c r="AT27" s="185">
        <v>0</v>
      </c>
      <c r="AU27" s="185">
        <v>19</v>
      </c>
      <c r="AV27" s="184">
        <v>2</v>
      </c>
      <c r="AW27" s="169">
        <v>2</v>
      </c>
      <c r="AX27" s="154">
        <v>1</v>
      </c>
      <c r="AY27" s="185">
        <v>427</v>
      </c>
      <c r="AZ27" s="131">
        <v>10</v>
      </c>
      <c r="BA27" s="131">
        <v>3</v>
      </c>
      <c r="BB27" s="130">
        <v>2</v>
      </c>
      <c r="BC27" s="130"/>
      <c r="BD27" s="130">
        <v>-1</v>
      </c>
      <c r="BE27" s="130"/>
      <c r="BF27" s="130"/>
      <c r="BG27" s="130">
        <v>1</v>
      </c>
      <c r="BH27" s="130"/>
      <c r="BI27" s="130">
        <v>1</v>
      </c>
      <c r="BJ27" s="185"/>
      <c r="BK27" s="185"/>
      <c r="BL27" s="185"/>
      <c r="BM27" s="185"/>
      <c r="BN27" s="185"/>
      <c r="BO27" s="185">
        <v>2</v>
      </c>
      <c r="BP27" s="185">
        <v>1</v>
      </c>
      <c r="BQ27" s="185"/>
      <c r="BR27" s="185"/>
      <c r="BS27" s="185"/>
      <c r="BT27" s="185"/>
      <c r="BU27" s="185"/>
      <c r="BV27" s="185"/>
      <c r="BW27" s="185"/>
      <c r="BX27" s="184"/>
      <c r="BY27" s="185"/>
      <c r="BZ27" s="154"/>
      <c r="CA27" s="185">
        <v>0</v>
      </c>
      <c r="CB27" s="130">
        <v>9</v>
      </c>
      <c r="CC27" s="130">
        <v>0</v>
      </c>
      <c r="CD27" s="130">
        <v>436</v>
      </c>
      <c r="CE27" s="130">
        <v>10</v>
      </c>
      <c r="CF27" s="130">
        <v>435</v>
      </c>
      <c r="CG27" s="130">
        <v>9</v>
      </c>
      <c r="CH27" s="220">
        <f>+CF27+CG27</f>
        <v>444</v>
      </c>
    </row>
    <row r="28" spans="1:86" x14ac:dyDescent="0.25">
      <c r="A28" s="14">
        <v>81</v>
      </c>
      <c r="B28" s="2" t="s">
        <v>84</v>
      </c>
      <c r="C28" s="22"/>
      <c r="D28" s="183">
        <v>-1</v>
      </c>
      <c r="E28" s="150">
        <v>170</v>
      </c>
      <c r="F28" s="150">
        <v>-1</v>
      </c>
      <c r="G28" s="136"/>
      <c r="H28" s="136"/>
      <c r="I28" s="136"/>
      <c r="J28" s="136"/>
      <c r="K28" s="136"/>
      <c r="L28" s="136"/>
      <c r="M28" s="136"/>
      <c r="N28" s="136">
        <v>-12</v>
      </c>
      <c r="O28" s="136">
        <v>-3</v>
      </c>
      <c r="P28" s="136"/>
      <c r="Q28" s="183"/>
      <c r="R28" s="183"/>
      <c r="S28" s="183"/>
      <c r="T28" s="183">
        <v>-1</v>
      </c>
      <c r="U28" s="183">
        <v>-1</v>
      </c>
      <c r="V28" s="183">
        <v>-7</v>
      </c>
      <c r="W28" s="183"/>
      <c r="X28" s="131">
        <v>167</v>
      </c>
      <c r="Y28" s="131">
        <v>2</v>
      </c>
      <c r="Z28" s="130"/>
      <c r="AA28" s="130">
        <v>3</v>
      </c>
      <c r="AB28" s="130">
        <v>4</v>
      </c>
      <c r="AC28" s="130">
        <v>0</v>
      </c>
      <c r="AD28" s="130"/>
      <c r="AE28" s="130"/>
      <c r="AF28" s="130">
        <v>0</v>
      </c>
      <c r="AG28" s="130">
        <v>76</v>
      </c>
      <c r="AH28" s="185">
        <v>40</v>
      </c>
      <c r="AI28" s="185">
        <v>9</v>
      </c>
      <c r="AJ28" s="185">
        <v>36</v>
      </c>
      <c r="AK28" s="185">
        <v>11</v>
      </c>
      <c r="AL28" s="185">
        <v>2</v>
      </c>
      <c r="AM28" s="185">
        <v>14</v>
      </c>
      <c r="AN28" s="185">
        <v>2</v>
      </c>
      <c r="AO28" s="185">
        <v>10</v>
      </c>
      <c r="AP28" s="185">
        <v>9</v>
      </c>
      <c r="AQ28" s="185">
        <v>12</v>
      </c>
      <c r="AR28" s="184">
        <v>10</v>
      </c>
      <c r="AS28" s="169">
        <v>2</v>
      </c>
      <c r="AT28" s="185"/>
      <c r="AU28" s="185">
        <v>-1</v>
      </c>
      <c r="AV28" s="184">
        <v>11</v>
      </c>
      <c r="AW28" s="185">
        <v>3</v>
      </c>
      <c r="AX28" s="154">
        <v>1</v>
      </c>
      <c r="AY28" s="185">
        <v>398</v>
      </c>
      <c r="AZ28" s="131">
        <v>4</v>
      </c>
      <c r="BA28" s="131">
        <v>4</v>
      </c>
      <c r="BB28" s="130"/>
      <c r="BC28" s="130"/>
      <c r="BD28" s="130">
        <v>-3</v>
      </c>
      <c r="BE28" s="130"/>
      <c r="BF28" s="130">
        <v>1</v>
      </c>
      <c r="BG28" s="130"/>
      <c r="BH28" s="130"/>
      <c r="BI28" s="130">
        <v>1</v>
      </c>
      <c r="BJ28" s="185">
        <v>14</v>
      </c>
      <c r="BK28" s="185"/>
      <c r="BL28" s="185">
        <v>20</v>
      </c>
      <c r="BM28" s="185">
        <v>1</v>
      </c>
      <c r="BN28" s="185"/>
      <c r="BO28" s="185"/>
      <c r="BP28" s="185">
        <v>2</v>
      </c>
      <c r="BQ28" s="185"/>
      <c r="BR28" s="185"/>
      <c r="BS28" s="185"/>
      <c r="BT28" s="185"/>
      <c r="BU28" s="185"/>
      <c r="BV28" s="185"/>
      <c r="BW28" s="185"/>
      <c r="BX28" s="184"/>
      <c r="BY28" s="185"/>
      <c r="BZ28" s="154"/>
      <c r="CA28" s="185"/>
      <c r="CB28" s="130">
        <v>40</v>
      </c>
      <c r="CC28" s="130">
        <v>0</v>
      </c>
      <c r="CD28" s="130">
        <v>438</v>
      </c>
      <c r="CE28" s="130">
        <v>4</v>
      </c>
      <c r="CF28" s="130">
        <v>401</v>
      </c>
      <c r="CG28" s="130">
        <v>40</v>
      </c>
      <c r="CH28" s="220">
        <f>+CF28+CG28</f>
        <v>441</v>
      </c>
    </row>
    <row r="29" spans="1:86" x14ac:dyDescent="0.25">
      <c r="A29" s="14">
        <v>51</v>
      </c>
      <c r="B29" s="2" t="s">
        <v>54</v>
      </c>
      <c r="C29" s="22"/>
      <c r="D29" s="183">
        <v>-4</v>
      </c>
      <c r="E29" s="150">
        <v>113</v>
      </c>
      <c r="F29" s="150"/>
      <c r="G29" s="136"/>
      <c r="H29" s="136"/>
      <c r="I29" s="136"/>
      <c r="J29" s="136">
        <v>-1</v>
      </c>
      <c r="K29" s="136">
        <v>-2</v>
      </c>
      <c r="L29" s="136"/>
      <c r="M29" s="136">
        <v>-1</v>
      </c>
      <c r="N29" s="136"/>
      <c r="O29" s="136"/>
      <c r="P29" s="136">
        <v>-1</v>
      </c>
      <c r="Q29" s="183"/>
      <c r="R29" s="183"/>
      <c r="S29" s="183">
        <v>-1</v>
      </c>
      <c r="T29" s="183"/>
      <c r="U29" s="183">
        <v>-1</v>
      </c>
      <c r="V29" s="183"/>
      <c r="W29" s="183">
        <v>-2</v>
      </c>
      <c r="X29" s="131">
        <v>113</v>
      </c>
      <c r="Y29" s="131"/>
      <c r="Z29" s="130"/>
      <c r="AA29" s="130">
        <v>2</v>
      </c>
      <c r="AB29" s="130">
        <v>16</v>
      </c>
      <c r="AC29" s="130">
        <v>15</v>
      </c>
      <c r="AD29" s="130">
        <v>13</v>
      </c>
      <c r="AE29" s="130">
        <v>19</v>
      </c>
      <c r="AF29" s="130">
        <v>35</v>
      </c>
      <c r="AG29" s="130">
        <v>51</v>
      </c>
      <c r="AH29" s="185">
        <v>14</v>
      </c>
      <c r="AI29" s="185">
        <v>45</v>
      </c>
      <c r="AJ29" s="185">
        <v>1</v>
      </c>
      <c r="AK29" s="185">
        <v>5</v>
      </c>
      <c r="AL29" s="185">
        <v>7</v>
      </c>
      <c r="AM29" s="185">
        <v>24</v>
      </c>
      <c r="AN29" s="184">
        <v>16</v>
      </c>
      <c r="AO29" s="185">
        <v>6</v>
      </c>
      <c r="AP29" s="185">
        <v>1</v>
      </c>
      <c r="AQ29" s="185">
        <v>3</v>
      </c>
      <c r="AR29" s="184">
        <v>6</v>
      </c>
      <c r="AS29" s="169">
        <v>1</v>
      </c>
      <c r="AT29" s="185">
        <v>4</v>
      </c>
      <c r="AU29" s="185">
        <v>24</v>
      </c>
      <c r="AV29" s="184">
        <v>4</v>
      </c>
      <c r="AW29" s="169">
        <v>1</v>
      </c>
      <c r="AX29" s="154">
        <v>5</v>
      </c>
      <c r="AY29" s="185">
        <v>422</v>
      </c>
      <c r="AZ29" s="131">
        <v>15</v>
      </c>
      <c r="BA29" s="131">
        <v>1</v>
      </c>
      <c r="BB29" s="130"/>
      <c r="BC29" s="130"/>
      <c r="BD29" s="130"/>
      <c r="BE29" s="130">
        <v>2</v>
      </c>
      <c r="BF29" s="130">
        <v>0</v>
      </c>
      <c r="BG29" s="130"/>
      <c r="BH29" s="130"/>
      <c r="BI29" s="130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>
        <v>1</v>
      </c>
      <c r="BT29" s="185"/>
      <c r="BU29" s="185"/>
      <c r="BV29" s="185"/>
      <c r="BW29" s="185"/>
      <c r="BX29" s="184"/>
      <c r="BY29" s="185"/>
      <c r="BZ29" s="154"/>
      <c r="CA29" s="185"/>
      <c r="CB29" s="130">
        <v>4</v>
      </c>
      <c r="CC29" s="130">
        <v>0</v>
      </c>
      <c r="CD29" s="130">
        <v>426</v>
      </c>
      <c r="CE29" s="130">
        <v>15</v>
      </c>
      <c r="CF29" s="130">
        <v>433</v>
      </c>
      <c r="CG29" s="130">
        <v>4</v>
      </c>
      <c r="CH29" s="220">
        <f>+CF29+CG29</f>
        <v>437</v>
      </c>
    </row>
    <row r="30" spans="1:86" x14ac:dyDescent="0.25">
      <c r="A30" s="14">
        <v>21</v>
      </c>
      <c r="B30" s="2" t="s">
        <v>24</v>
      </c>
      <c r="C30" s="22"/>
      <c r="D30" s="183">
        <v>-1</v>
      </c>
      <c r="E30" s="150">
        <v>161</v>
      </c>
      <c r="F30" s="150">
        <v>-1</v>
      </c>
      <c r="G30" s="136"/>
      <c r="H30" s="136">
        <v>-2</v>
      </c>
      <c r="I30" s="136">
        <v>-7</v>
      </c>
      <c r="J30" s="136"/>
      <c r="K30" s="136"/>
      <c r="L30" s="136"/>
      <c r="M30" s="136">
        <v>-2</v>
      </c>
      <c r="N30" s="136">
        <v>-2</v>
      </c>
      <c r="O30" s="136"/>
      <c r="P30" s="136">
        <v>-1</v>
      </c>
      <c r="Q30" s="183">
        <v>-3</v>
      </c>
      <c r="R30" s="183">
        <v>-4</v>
      </c>
      <c r="S30" s="183">
        <v>-7</v>
      </c>
      <c r="T30" s="183"/>
      <c r="U30" s="183"/>
      <c r="V30" s="183"/>
      <c r="W30" s="183"/>
      <c r="X30" s="131">
        <v>159</v>
      </c>
      <c r="Y30" s="131">
        <v>1</v>
      </c>
      <c r="Z30" s="130">
        <v>5</v>
      </c>
      <c r="AA30" s="130">
        <v>13</v>
      </c>
      <c r="AB30" s="130">
        <v>45</v>
      </c>
      <c r="AC30" s="169">
        <v>19</v>
      </c>
      <c r="AD30" s="169"/>
      <c r="AE30" s="169">
        <v>14</v>
      </c>
      <c r="AF30" s="169">
        <v>15</v>
      </c>
      <c r="AG30" s="130">
        <v>15</v>
      </c>
      <c r="AH30" s="185">
        <v>12</v>
      </c>
      <c r="AI30" s="185">
        <v>11</v>
      </c>
      <c r="AJ30" s="185">
        <v>21</v>
      </c>
      <c r="AK30" s="185">
        <v>14</v>
      </c>
      <c r="AL30" s="185">
        <v>22</v>
      </c>
      <c r="AM30" s="185">
        <v>7</v>
      </c>
      <c r="AN30" s="184">
        <v>6</v>
      </c>
      <c r="AO30" s="185">
        <v>3</v>
      </c>
      <c r="AP30" s="185">
        <v>1</v>
      </c>
      <c r="AQ30" s="185">
        <v>7</v>
      </c>
      <c r="AR30" s="184">
        <v>2</v>
      </c>
      <c r="AS30" s="185">
        <v>3</v>
      </c>
      <c r="AT30" s="185">
        <v>0</v>
      </c>
      <c r="AU30" s="169">
        <v>44</v>
      </c>
      <c r="AV30" s="173">
        <v>1</v>
      </c>
      <c r="AW30" s="169">
        <v>2</v>
      </c>
      <c r="AX30" s="154">
        <v>0</v>
      </c>
      <c r="AY30" s="185">
        <v>413</v>
      </c>
      <c r="AZ30" s="131">
        <v>6</v>
      </c>
      <c r="BA30" s="131">
        <v>4</v>
      </c>
      <c r="BB30" s="130"/>
      <c r="BC30" s="130"/>
      <c r="BD30" s="130"/>
      <c r="BE30" s="169"/>
      <c r="BF30" s="169">
        <v>2</v>
      </c>
      <c r="BG30" s="169"/>
      <c r="BH30" s="169"/>
      <c r="BI30" s="130"/>
      <c r="BJ30" s="185">
        <v>4</v>
      </c>
      <c r="BK30" s="185">
        <v>1</v>
      </c>
      <c r="BL30" s="185"/>
      <c r="BM30" s="185">
        <v>4</v>
      </c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4"/>
      <c r="BY30" s="185"/>
      <c r="BZ30" s="154"/>
      <c r="CA30" s="185">
        <v>0</v>
      </c>
      <c r="CB30" s="130">
        <v>15</v>
      </c>
      <c r="CC30" s="130">
        <v>0</v>
      </c>
      <c r="CD30" s="130">
        <v>428</v>
      </c>
      <c r="CE30" s="130">
        <v>6</v>
      </c>
      <c r="CF30" s="130">
        <v>418</v>
      </c>
      <c r="CG30" s="130">
        <v>15</v>
      </c>
      <c r="CH30" s="220">
        <f>+CF30+CG30</f>
        <v>433</v>
      </c>
    </row>
    <row r="31" spans="1:86" x14ac:dyDescent="0.25">
      <c r="A31" s="14">
        <v>7</v>
      </c>
      <c r="B31" s="2" t="s">
        <v>11</v>
      </c>
      <c r="C31" s="15"/>
      <c r="D31" s="183">
        <v>-1</v>
      </c>
      <c r="E31" s="150">
        <v>79</v>
      </c>
      <c r="F31" s="150"/>
      <c r="G31" s="136">
        <v>-1</v>
      </c>
      <c r="H31" s="136"/>
      <c r="I31" s="136"/>
      <c r="J31" s="136"/>
      <c r="K31" s="136"/>
      <c r="L31" s="136"/>
      <c r="M31" s="136"/>
      <c r="N31" s="136"/>
      <c r="O31" s="136"/>
      <c r="P31" s="136">
        <v>-1</v>
      </c>
      <c r="Q31" s="183">
        <v>-5</v>
      </c>
      <c r="R31" s="183"/>
      <c r="S31" s="183">
        <v>-2</v>
      </c>
      <c r="T31" s="183"/>
      <c r="U31" s="183"/>
      <c r="V31" s="183"/>
      <c r="W31" s="183"/>
      <c r="X31" s="131">
        <v>84</v>
      </c>
      <c r="Y31" s="131">
        <v>13</v>
      </c>
      <c r="Z31" s="130">
        <v>1</v>
      </c>
      <c r="AA31" s="130">
        <v>1</v>
      </c>
      <c r="AB31" s="130">
        <v>2</v>
      </c>
      <c r="AC31" s="130">
        <v>12</v>
      </c>
      <c r="AD31" s="130">
        <v>7</v>
      </c>
      <c r="AE31" s="130">
        <v>4</v>
      </c>
      <c r="AF31" s="130">
        <v>2</v>
      </c>
      <c r="AG31" s="130">
        <v>2</v>
      </c>
      <c r="AH31" s="185">
        <v>3</v>
      </c>
      <c r="AI31" s="169">
        <v>2</v>
      </c>
      <c r="AJ31" s="185">
        <v>40</v>
      </c>
      <c r="AK31" s="169">
        <v>22</v>
      </c>
      <c r="AL31" s="185">
        <v>97</v>
      </c>
      <c r="AM31" s="185">
        <v>37</v>
      </c>
      <c r="AN31" s="185">
        <v>33</v>
      </c>
      <c r="AO31" s="185">
        <v>1</v>
      </c>
      <c r="AP31" s="185">
        <v>12</v>
      </c>
      <c r="AQ31" s="185">
        <v>25</v>
      </c>
      <c r="AR31" s="184">
        <v>10</v>
      </c>
      <c r="AS31" s="169">
        <v>5</v>
      </c>
      <c r="AT31" s="169">
        <v>2</v>
      </c>
      <c r="AU31" s="228">
        <v>6</v>
      </c>
      <c r="AV31" s="173">
        <v>-3</v>
      </c>
      <c r="AW31" s="173">
        <v>1</v>
      </c>
      <c r="AX31" s="154">
        <v>0</v>
      </c>
      <c r="AY31" s="185">
        <v>412</v>
      </c>
      <c r="AZ31" s="131">
        <v>2</v>
      </c>
      <c r="BA31" s="131">
        <v>2</v>
      </c>
      <c r="BB31" s="130">
        <v>1</v>
      </c>
      <c r="BC31" s="130"/>
      <c r="BD31" s="130">
        <v>-1</v>
      </c>
      <c r="BE31" s="130"/>
      <c r="BF31" s="130"/>
      <c r="BG31" s="130"/>
      <c r="BH31" s="130"/>
      <c r="BI31" s="130"/>
      <c r="BJ31" s="185"/>
      <c r="BK31" s="169"/>
      <c r="BL31" s="185"/>
      <c r="BM31" s="169">
        <v>2</v>
      </c>
      <c r="BN31" s="185"/>
      <c r="BO31" s="185"/>
      <c r="BP31" s="185"/>
      <c r="BQ31" s="185"/>
      <c r="BR31" s="185"/>
      <c r="BS31" s="185"/>
      <c r="BT31" s="185"/>
      <c r="BU31" s="185"/>
      <c r="BV31" s="185"/>
      <c r="BW31" s="228"/>
      <c r="BX31" s="184"/>
      <c r="BY31" s="185"/>
      <c r="BZ31" s="154"/>
      <c r="CA31" s="185">
        <v>0</v>
      </c>
      <c r="CB31" s="130">
        <v>4</v>
      </c>
      <c r="CC31" s="130">
        <v>0</v>
      </c>
      <c r="CD31" s="130">
        <v>416</v>
      </c>
      <c r="CE31" s="130">
        <v>2</v>
      </c>
      <c r="CF31" s="130">
        <v>413</v>
      </c>
      <c r="CG31" s="130">
        <v>4</v>
      </c>
      <c r="CH31" s="220">
        <f>+CF31+CG31</f>
        <v>417</v>
      </c>
    </row>
    <row r="32" spans="1:86" x14ac:dyDescent="0.25">
      <c r="A32" s="14">
        <v>33</v>
      </c>
      <c r="B32" s="2" t="s">
        <v>36</v>
      </c>
      <c r="C32" s="15"/>
      <c r="D32" s="183"/>
      <c r="E32" s="150">
        <v>88</v>
      </c>
      <c r="F32" s="150"/>
      <c r="G32" s="136"/>
      <c r="H32" s="136">
        <v>-1</v>
      </c>
      <c r="I32" s="136"/>
      <c r="J32" s="136"/>
      <c r="K32" s="136"/>
      <c r="L32" s="136"/>
      <c r="M32" s="136"/>
      <c r="N32" s="136">
        <v>-2</v>
      </c>
      <c r="O32" s="136">
        <v>-1</v>
      </c>
      <c r="P32" s="136"/>
      <c r="Q32" s="183"/>
      <c r="R32" s="183"/>
      <c r="S32" s="183"/>
      <c r="T32" s="183">
        <v>-2</v>
      </c>
      <c r="U32" s="183">
        <v>-3</v>
      </c>
      <c r="V32" s="183"/>
      <c r="W32" s="183"/>
      <c r="X32" s="131">
        <v>87</v>
      </c>
      <c r="Y32" s="131">
        <v>4</v>
      </c>
      <c r="Z32" s="130">
        <v>3</v>
      </c>
      <c r="AA32" s="130">
        <v>6</v>
      </c>
      <c r="AB32" s="130">
        <v>12</v>
      </c>
      <c r="AC32" s="130">
        <v>3</v>
      </c>
      <c r="AD32" s="130">
        <v>6</v>
      </c>
      <c r="AE32" s="130">
        <v>6</v>
      </c>
      <c r="AF32" s="130">
        <v>7</v>
      </c>
      <c r="AG32" s="130">
        <v>21</v>
      </c>
      <c r="AH32" s="185">
        <v>4</v>
      </c>
      <c r="AI32" s="185">
        <v>6</v>
      </c>
      <c r="AJ32" s="185">
        <v>3</v>
      </c>
      <c r="AK32" s="185">
        <v>20</v>
      </c>
      <c r="AL32" s="185">
        <v>21</v>
      </c>
      <c r="AM32" s="185">
        <v>38</v>
      </c>
      <c r="AN32" s="173">
        <v>45</v>
      </c>
      <c r="AO32" s="169">
        <v>45</v>
      </c>
      <c r="AP32" s="185">
        <v>10</v>
      </c>
      <c r="AQ32" s="185">
        <v>18</v>
      </c>
      <c r="AR32" s="185">
        <v>20</v>
      </c>
      <c r="AS32" s="185">
        <v>6</v>
      </c>
      <c r="AT32" s="169">
        <v>0</v>
      </c>
      <c r="AU32" s="228">
        <v>7</v>
      </c>
      <c r="AV32" s="184">
        <v>2</v>
      </c>
      <c r="AW32" s="169">
        <v>4</v>
      </c>
      <c r="AX32" s="154">
        <v>0</v>
      </c>
      <c r="AY32" s="185">
        <v>395</v>
      </c>
      <c r="AZ32" s="131">
        <v>2</v>
      </c>
      <c r="BA32" s="131">
        <v>7</v>
      </c>
      <c r="BB32" s="130"/>
      <c r="BC32" s="130"/>
      <c r="BD32" s="130">
        <v>8</v>
      </c>
      <c r="BE32" s="130"/>
      <c r="BF32" s="130"/>
      <c r="BG32" s="130"/>
      <c r="BH32" s="130"/>
      <c r="BI32" s="130"/>
      <c r="BJ32" s="185"/>
      <c r="BK32" s="185">
        <v>1</v>
      </c>
      <c r="BL32" s="185">
        <v>1</v>
      </c>
      <c r="BM32" s="185"/>
      <c r="BN32" s="185"/>
      <c r="BO32" s="185"/>
      <c r="BP32" s="185"/>
      <c r="BQ32" s="169"/>
      <c r="BR32" s="185"/>
      <c r="BS32" s="185"/>
      <c r="BT32" s="185"/>
      <c r="BU32" s="185"/>
      <c r="BV32" s="185"/>
      <c r="BW32" s="228"/>
      <c r="BX32" s="184"/>
      <c r="BY32" s="184"/>
      <c r="BZ32" s="154"/>
      <c r="CA32" s="185">
        <v>0</v>
      </c>
      <c r="CB32" s="130">
        <v>17</v>
      </c>
      <c r="CC32" s="130">
        <v>0</v>
      </c>
      <c r="CD32" s="130">
        <v>412</v>
      </c>
      <c r="CE32" s="130">
        <v>2</v>
      </c>
      <c r="CF32" s="130">
        <v>397</v>
      </c>
      <c r="CG32" s="130">
        <v>17</v>
      </c>
      <c r="CH32" s="220">
        <f>+CF32+CG32</f>
        <v>414</v>
      </c>
    </row>
    <row r="33" spans="1:86" x14ac:dyDescent="0.25">
      <c r="A33" s="14">
        <v>67</v>
      </c>
      <c r="B33" s="2" t="s">
        <v>70</v>
      </c>
      <c r="C33" s="22"/>
      <c r="D33" s="183"/>
      <c r="E33" s="150">
        <v>125</v>
      </c>
      <c r="F33" s="150"/>
      <c r="G33" s="136">
        <v>-3</v>
      </c>
      <c r="H33" s="136">
        <v>-5</v>
      </c>
      <c r="I33" s="136"/>
      <c r="J33" s="136">
        <v>-3</v>
      </c>
      <c r="K33" s="136">
        <v>-2</v>
      </c>
      <c r="L33" s="136"/>
      <c r="M33" s="136"/>
      <c r="N33" s="136"/>
      <c r="O33" s="136"/>
      <c r="P33" s="136"/>
      <c r="Q33" s="183">
        <v>-3</v>
      </c>
      <c r="R33" s="183"/>
      <c r="S33" s="183">
        <v>-4</v>
      </c>
      <c r="T33" s="183">
        <v>-2</v>
      </c>
      <c r="U33" s="183">
        <v>-2</v>
      </c>
      <c r="V33" s="183"/>
      <c r="W33" s="183"/>
      <c r="X33" s="131">
        <v>126</v>
      </c>
      <c r="Y33" s="131">
        <v>10</v>
      </c>
      <c r="Z33" s="130">
        <v>8</v>
      </c>
      <c r="AA33" s="130">
        <v>34</v>
      </c>
      <c r="AB33" s="130">
        <v>60</v>
      </c>
      <c r="AC33" s="130">
        <v>3</v>
      </c>
      <c r="AD33" s="130">
        <v>19</v>
      </c>
      <c r="AE33" s="130">
        <v>21</v>
      </c>
      <c r="AF33" s="130">
        <v>4</v>
      </c>
      <c r="AG33" s="130">
        <v>3</v>
      </c>
      <c r="AH33" s="185">
        <v>12</v>
      </c>
      <c r="AI33" s="185">
        <v>6</v>
      </c>
      <c r="AJ33" s="185">
        <v>17</v>
      </c>
      <c r="AK33" s="185">
        <v>3</v>
      </c>
      <c r="AL33" s="185">
        <v>59</v>
      </c>
      <c r="AM33" s="185">
        <v>1</v>
      </c>
      <c r="AN33" s="184">
        <v>4</v>
      </c>
      <c r="AO33" s="185">
        <v>12</v>
      </c>
      <c r="AP33" s="185">
        <v>8</v>
      </c>
      <c r="AQ33" s="185">
        <v>1</v>
      </c>
      <c r="AR33" s="185">
        <v>2</v>
      </c>
      <c r="AS33" s="184">
        <v>1</v>
      </c>
      <c r="AT33" s="185">
        <v>0</v>
      </c>
      <c r="AU33" s="227">
        <v>1</v>
      </c>
      <c r="AV33" s="184">
        <v>3</v>
      </c>
      <c r="AW33" s="185">
        <v>1</v>
      </c>
      <c r="AX33" s="154">
        <v>4</v>
      </c>
      <c r="AY33" s="185">
        <v>399</v>
      </c>
      <c r="AZ33" s="131">
        <v>1</v>
      </c>
      <c r="BA33" s="131">
        <v>1</v>
      </c>
      <c r="BB33" s="130">
        <v>1</v>
      </c>
      <c r="BC33" s="130"/>
      <c r="BD33" s="130"/>
      <c r="BE33" s="130">
        <v>3</v>
      </c>
      <c r="BF33" s="130"/>
      <c r="BG33" s="130"/>
      <c r="BH33" s="130"/>
      <c r="BI33" s="130"/>
      <c r="BJ33" s="185">
        <v>1</v>
      </c>
      <c r="BK33" s="185"/>
      <c r="BL33" s="185"/>
      <c r="BM33" s="185"/>
      <c r="BN33" s="185"/>
      <c r="BO33" s="185"/>
      <c r="BP33" s="185">
        <v>1</v>
      </c>
      <c r="BQ33" s="185"/>
      <c r="BR33" s="185"/>
      <c r="BS33" s="185"/>
      <c r="BT33" s="185"/>
      <c r="BU33" s="185"/>
      <c r="BV33" s="185"/>
      <c r="BW33" s="224"/>
      <c r="BX33" s="184"/>
      <c r="BY33" s="185"/>
      <c r="BZ33" s="154"/>
      <c r="CA33" s="185"/>
      <c r="CB33" s="130">
        <v>7</v>
      </c>
      <c r="CC33" s="130">
        <v>0</v>
      </c>
      <c r="CD33" s="130">
        <v>406</v>
      </c>
      <c r="CE33" s="130">
        <v>1</v>
      </c>
      <c r="CF33" s="130">
        <v>400</v>
      </c>
      <c r="CG33" s="130">
        <v>7</v>
      </c>
      <c r="CH33" s="220">
        <f>+CF33+CG33</f>
        <v>407</v>
      </c>
    </row>
    <row r="34" spans="1:86" x14ac:dyDescent="0.25">
      <c r="A34" s="14">
        <v>2</v>
      </c>
      <c r="B34" s="2" t="s">
        <v>6</v>
      </c>
      <c r="C34" s="15"/>
      <c r="D34" s="183"/>
      <c r="E34" s="150">
        <v>107</v>
      </c>
      <c r="F34" s="150"/>
      <c r="G34" s="136"/>
      <c r="H34" s="136"/>
      <c r="I34" s="136">
        <v>-3</v>
      </c>
      <c r="J34" s="136">
        <v>-1</v>
      </c>
      <c r="K34" s="136">
        <v>-2</v>
      </c>
      <c r="L34" s="136"/>
      <c r="M34" s="136">
        <v>-1</v>
      </c>
      <c r="N34" s="136">
        <v>-1</v>
      </c>
      <c r="O34" s="136"/>
      <c r="P34" s="136"/>
      <c r="Q34" s="183"/>
      <c r="R34" s="183"/>
      <c r="S34" s="183"/>
      <c r="T34" s="183"/>
      <c r="U34" s="183"/>
      <c r="V34" s="183"/>
      <c r="W34" s="183">
        <v>-1</v>
      </c>
      <c r="X34" s="131">
        <v>93</v>
      </c>
      <c r="Y34" s="131"/>
      <c r="Z34" s="130">
        <v>8</v>
      </c>
      <c r="AA34" s="130">
        <v>27</v>
      </c>
      <c r="AB34" s="130">
        <v>31</v>
      </c>
      <c r="AC34" s="130">
        <v>26</v>
      </c>
      <c r="AD34" s="130">
        <v>6</v>
      </c>
      <c r="AE34" s="130">
        <v>3</v>
      </c>
      <c r="AF34" s="130">
        <v>11</v>
      </c>
      <c r="AG34" s="130">
        <v>21</v>
      </c>
      <c r="AH34" s="185">
        <v>2</v>
      </c>
      <c r="AI34" s="169">
        <v>1</v>
      </c>
      <c r="AJ34" s="185">
        <v>5</v>
      </c>
      <c r="AK34" s="185">
        <v>6</v>
      </c>
      <c r="AL34" s="185">
        <v>3</v>
      </c>
      <c r="AM34" s="185">
        <v>6</v>
      </c>
      <c r="AN34" s="173">
        <v>4</v>
      </c>
      <c r="AO34" s="185"/>
      <c r="AP34" s="185">
        <v>1</v>
      </c>
      <c r="AQ34" s="185">
        <v>4</v>
      </c>
      <c r="AR34" s="173">
        <v>26</v>
      </c>
      <c r="AS34" s="185">
        <v>7</v>
      </c>
      <c r="AT34" s="169">
        <v>3</v>
      </c>
      <c r="AU34" s="130">
        <v>29</v>
      </c>
      <c r="AV34" s="173">
        <v>25</v>
      </c>
      <c r="AW34" s="169">
        <v>9</v>
      </c>
      <c r="AX34" s="154">
        <v>7</v>
      </c>
      <c r="AY34" s="185">
        <v>355</v>
      </c>
      <c r="AZ34" s="131">
        <v>1</v>
      </c>
      <c r="BA34" s="131">
        <v>17</v>
      </c>
      <c r="BB34" s="130"/>
      <c r="BC34" s="130"/>
      <c r="BD34" s="130">
        <v>2</v>
      </c>
      <c r="BE34" s="130">
        <v>6</v>
      </c>
      <c r="BF34" s="130">
        <v>2</v>
      </c>
      <c r="BG34" s="130"/>
      <c r="BH34" s="130"/>
      <c r="BI34" s="130">
        <v>3</v>
      </c>
      <c r="BJ34" s="185">
        <v>5</v>
      </c>
      <c r="BK34" s="169"/>
      <c r="BL34" s="185"/>
      <c r="BM34" s="185"/>
      <c r="BN34" s="185"/>
      <c r="BO34" s="185">
        <v>2</v>
      </c>
      <c r="BP34" s="185">
        <v>4</v>
      </c>
      <c r="BQ34" s="185"/>
      <c r="BR34" s="185"/>
      <c r="BS34" s="185"/>
      <c r="BT34" s="185"/>
      <c r="BU34" s="185"/>
      <c r="BV34" s="228"/>
      <c r="BW34" s="185"/>
      <c r="BX34" s="184">
        <v>1</v>
      </c>
      <c r="BY34" s="185">
        <v>0</v>
      </c>
      <c r="BZ34" s="154">
        <v>2</v>
      </c>
      <c r="CA34" s="185">
        <v>-2</v>
      </c>
      <c r="CB34" s="130">
        <v>42</v>
      </c>
      <c r="CC34" s="130">
        <v>0</v>
      </c>
      <c r="CD34" s="130">
        <v>397</v>
      </c>
      <c r="CE34" s="130">
        <v>1</v>
      </c>
      <c r="CF34" s="130">
        <v>356</v>
      </c>
      <c r="CG34" s="130">
        <v>42</v>
      </c>
      <c r="CH34" s="220">
        <f>+CF34+CG34</f>
        <v>398</v>
      </c>
    </row>
    <row r="35" spans="1:86" x14ac:dyDescent="0.25">
      <c r="A35" s="14">
        <v>73</v>
      </c>
      <c r="B35" s="2" t="s">
        <v>76</v>
      </c>
      <c r="C35" s="15"/>
      <c r="D35" s="183">
        <v>-1</v>
      </c>
      <c r="E35" s="150">
        <v>206</v>
      </c>
      <c r="F35" s="150">
        <v>-2</v>
      </c>
      <c r="G35" s="136"/>
      <c r="H35" s="136">
        <v>-13</v>
      </c>
      <c r="I35" s="136">
        <v>-7</v>
      </c>
      <c r="J35" s="136"/>
      <c r="K35" s="136"/>
      <c r="L35" s="136">
        <v>-2</v>
      </c>
      <c r="M35" s="136"/>
      <c r="N35" s="136"/>
      <c r="O35" s="136">
        <v>-5</v>
      </c>
      <c r="P35" s="136">
        <v>-3</v>
      </c>
      <c r="Q35" s="183">
        <v>-2</v>
      </c>
      <c r="R35" s="183">
        <v>-1</v>
      </c>
      <c r="S35" s="183">
        <v>-3</v>
      </c>
      <c r="T35" s="183">
        <v>-1</v>
      </c>
      <c r="U35" s="183">
        <v>-17</v>
      </c>
      <c r="V35" s="183">
        <v>-1</v>
      </c>
      <c r="W35" s="183"/>
      <c r="X35" s="131">
        <v>211</v>
      </c>
      <c r="Y35" s="131">
        <v>11</v>
      </c>
      <c r="Z35" s="130">
        <v>3</v>
      </c>
      <c r="AA35" s="130">
        <v>25</v>
      </c>
      <c r="AB35" s="130">
        <v>13</v>
      </c>
      <c r="AC35" s="130">
        <v>3</v>
      </c>
      <c r="AD35" s="130">
        <v>3</v>
      </c>
      <c r="AE35" s="130">
        <v>7</v>
      </c>
      <c r="AF35" s="130">
        <v>2</v>
      </c>
      <c r="AG35" s="130"/>
      <c r="AH35" s="185">
        <v>18</v>
      </c>
      <c r="AI35" s="185">
        <v>6</v>
      </c>
      <c r="AJ35" s="185">
        <v>6</v>
      </c>
      <c r="AK35" s="185">
        <v>6</v>
      </c>
      <c r="AL35" s="185">
        <v>7</v>
      </c>
      <c r="AM35" s="185">
        <v>6</v>
      </c>
      <c r="AN35" s="184">
        <v>3</v>
      </c>
      <c r="AO35" s="185">
        <v>22</v>
      </c>
      <c r="AP35" s="185">
        <v>10</v>
      </c>
      <c r="AQ35" s="185">
        <v>1</v>
      </c>
      <c r="AR35" s="184">
        <v>32</v>
      </c>
      <c r="AS35" s="184">
        <v>4</v>
      </c>
      <c r="AT35" s="185">
        <v>1</v>
      </c>
      <c r="AU35" s="169">
        <v>3</v>
      </c>
      <c r="AV35" s="184">
        <v>4</v>
      </c>
      <c r="AW35" s="173">
        <v>1</v>
      </c>
      <c r="AX35" s="154">
        <v>0</v>
      </c>
      <c r="AY35" s="185">
        <v>351</v>
      </c>
      <c r="AZ35" s="131">
        <v>3</v>
      </c>
      <c r="BA35" s="131">
        <v>3</v>
      </c>
      <c r="BB35" s="130"/>
      <c r="BC35" s="130">
        <v>1</v>
      </c>
      <c r="BD35" s="130">
        <v>-2</v>
      </c>
      <c r="BE35" s="130"/>
      <c r="BF35" s="130">
        <v>-1</v>
      </c>
      <c r="BG35" s="130"/>
      <c r="BH35" s="130"/>
      <c r="BI35" s="130"/>
      <c r="BJ35" s="185"/>
      <c r="BK35" s="185"/>
      <c r="BL35" s="185"/>
      <c r="BM35" s="185"/>
      <c r="BN35" s="185"/>
      <c r="BO35" s="185">
        <v>1</v>
      </c>
      <c r="BP35" s="185"/>
      <c r="BQ35" s="185"/>
      <c r="BR35" s="185">
        <v>1</v>
      </c>
      <c r="BS35" s="185"/>
      <c r="BT35" s="185"/>
      <c r="BU35" s="185"/>
      <c r="BV35" s="185"/>
      <c r="BW35" s="185"/>
      <c r="BX35" s="184"/>
      <c r="BY35" s="185"/>
      <c r="BZ35" s="154"/>
      <c r="CA35" s="185"/>
      <c r="CB35" s="130">
        <v>3</v>
      </c>
      <c r="CC35" s="130">
        <v>0</v>
      </c>
      <c r="CD35" s="130">
        <v>354</v>
      </c>
      <c r="CE35" s="130">
        <v>3</v>
      </c>
      <c r="CF35" s="130">
        <v>353</v>
      </c>
      <c r="CG35" s="130">
        <v>3</v>
      </c>
      <c r="CH35" s="220">
        <f>+CF35+CG35</f>
        <v>356</v>
      </c>
    </row>
    <row r="36" spans="1:86" x14ac:dyDescent="0.25">
      <c r="A36" s="14">
        <v>85</v>
      </c>
      <c r="B36" s="2" t="s">
        <v>88</v>
      </c>
      <c r="C36" s="15"/>
      <c r="D36" s="183"/>
      <c r="E36" s="150">
        <v>100</v>
      </c>
      <c r="F36" s="150"/>
      <c r="G36" s="136"/>
      <c r="H36" s="136"/>
      <c r="I36" s="136"/>
      <c r="J36" s="136"/>
      <c r="K36" s="136">
        <v>-1</v>
      </c>
      <c r="L36" s="136"/>
      <c r="M36" s="136"/>
      <c r="N36" s="136"/>
      <c r="O36" s="136">
        <v>-2</v>
      </c>
      <c r="P36" s="136"/>
      <c r="Q36" s="183"/>
      <c r="R36" s="183"/>
      <c r="S36" s="183"/>
      <c r="T36" s="183"/>
      <c r="U36" s="183"/>
      <c r="V36" s="183"/>
      <c r="W36" s="183"/>
      <c r="X36" s="131">
        <v>101</v>
      </c>
      <c r="Y36" s="131">
        <v>7</v>
      </c>
      <c r="Z36" s="130">
        <v>3</v>
      </c>
      <c r="AA36" s="130">
        <v>8</v>
      </c>
      <c r="AB36" s="130">
        <v>1</v>
      </c>
      <c r="AC36" s="130">
        <v>41</v>
      </c>
      <c r="AD36" s="130">
        <v>14</v>
      </c>
      <c r="AE36" s="130">
        <v>68</v>
      </c>
      <c r="AF36" s="130">
        <v>14</v>
      </c>
      <c r="AG36" s="130">
        <v>5</v>
      </c>
      <c r="AH36" s="185">
        <v>15</v>
      </c>
      <c r="AI36" s="185">
        <v>1</v>
      </c>
      <c r="AJ36" s="185">
        <v>8</v>
      </c>
      <c r="AK36" s="185">
        <v>5</v>
      </c>
      <c r="AL36" s="185">
        <v>2</v>
      </c>
      <c r="AM36" s="185">
        <v>2</v>
      </c>
      <c r="AN36" s="184">
        <v>2</v>
      </c>
      <c r="AO36" s="185">
        <v>5</v>
      </c>
      <c r="AP36" s="185">
        <v>3</v>
      </c>
      <c r="AQ36" s="185">
        <v>3</v>
      </c>
      <c r="AR36" s="185">
        <v>10</v>
      </c>
      <c r="AS36" s="169">
        <v>2</v>
      </c>
      <c r="AT36" s="185"/>
      <c r="AU36" s="185">
        <v>1</v>
      </c>
      <c r="AV36" s="184">
        <v>6</v>
      </c>
      <c r="AW36" s="169">
        <v>5</v>
      </c>
      <c r="AX36" s="154">
        <v>4</v>
      </c>
      <c r="AY36" s="185">
        <v>333</v>
      </c>
      <c r="AZ36" s="131">
        <v>1</v>
      </c>
      <c r="BA36" s="131">
        <v>2</v>
      </c>
      <c r="BB36" s="130"/>
      <c r="BC36" s="130"/>
      <c r="BD36" s="130">
        <v>-1</v>
      </c>
      <c r="BE36" s="130"/>
      <c r="BF36" s="130"/>
      <c r="BG36" s="130"/>
      <c r="BH36" s="130"/>
      <c r="BI36" s="130"/>
      <c r="BJ36" s="185">
        <v>1</v>
      </c>
      <c r="BK36" s="185">
        <v>1</v>
      </c>
      <c r="BL36" s="185">
        <v>1</v>
      </c>
      <c r="BM36" s="185"/>
      <c r="BN36" s="185"/>
      <c r="BO36" s="185"/>
      <c r="BP36" s="185">
        <v>1</v>
      </c>
      <c r="BQ36" s="185"/>
      <c r="BR36" s="185"/>
      <c r="BS36" s="185"/>
      <c r="BT36" s="185"/>
      <c r="BU36" s="185"/>
      <c r="BV36" s="185"/>
      <c r="BW36" s="185"/>
      <c r="BX36" s="184"/>
      <c r="BY36" s="185"/>
      <c r="BZ36" s="154"/>
      <c r="CA36" s="185"/>
      <c r="CB36" s="130">
        <v>5</v>
      </c>
      <c r="CC36" s="130">
        <v>0</v>
      </c>
      <c r="CD36" s="130">
        <v>338</v>
      </c>
      <c r="CE36" s="130">
        <v>1</v>
      </c>
      <c r="CF36" s="130">
        <v>334</v>
      </c>
      <c r="CG36" s="130">
        <v>5</v>
      </c>
      <c r="CH36" s="220">
        <f>+CF36+CG36</f>
        <v>339</v>
      </c>
    </row>
    <row r="37" spans="1:86" x14ac:dyDescent="0.25">
      <c r="A37" s="14">
        <v>95</v>
      </c>
      <c r="B37" s="2" t="s">
        <v>98</v>
      </c>
      <c r="C37" s="22"/>
      <c r="D37" s="183"/>
      <c r="E37" s="150">
        <v>99</v>
      </c>
      <c r="F37" s="150"/>
      <c r="G37" s="136"/>
      <c r="H37" s="136">
        <v>-3</v>
      </c>
      <c r="I37" s="136"/>
      <c r="J37" s="136"/>
      <c r="K37" s="136"/>
      <c r="L37" s="136"/>
      <c r="M37" s="136">
        <v>-1</v>
      </c>
      <c r="N37" s="136"/>
      <c r="O37" s="136"/>
      <c r="P37" s="136"/>
      <c r="Q37" s="183">
        <v>-1</v>
      </c>
      <c r="R37" s="183">
        <v>-1</v>
      </c>
      <c r="S37" s="183"/>
      <c r="T37" s="183">
        <v>-1</v>
      </c>
      <c r="U37" s="183"/>
      <c r="V37" s="183"/>
      <c r="W37" s="183"/>
      <c r="X37" s="131">
        <v>105</v>
      </c>
      <c r="Y37" s="131">
        <v>13</v>
      </c>
      <c r="Z37" s="130"/>
      <c r="AA37" s="130">
        <v>29</v>
      </c>
      <c r="AB37" s="130">
        <v>16</v>
      </c>
      <c r="AC37" s="130">
        <v>40</v>
      </c>
      <c r="AD37" s="130">
        <v>10</v>
      </c>
      <c r="AE37" s="130">
        <v>15</v>
      </c>
      <c r="AF37" s="130">
        <v>2</v>
      </c>
      <c r="AG37" s="130">
        <v>3</v>
      </c>
      <c r="AH37" s="185">
        <v>9</v>
      </c>
      <c r="AI37" s="185">
        <v>9</v>
      </c>
      <c r="AJ37" s="185">
        <v>15</v>
      </c>
      <c r="AK37" s="185">
        <v>13</v>
      </c>
      <c r="AL37" s="185">
        <v>6</v>
      </c>
      <c r="AM37" s="185">
        <v>4</v>
      </c>
      <c r="AN37" s="185">
        <v>3</v>
      </c>
      <c r="AO37" s="185">
        <v>4</v>
      </c>
      <c r="AP37" s="185">
        <v>9</v>
      </c>
      <c r="AQ37" s="185">
        <v>2</v>
      </c>
      <c r="AR37" s="184">
        <v>2</v>
      </c>
      <c r="AS37" s="184">
        <v>15</v>
      </c>
      <c r="AT37" s="185"/>
      <c r="AU37" s="185">
        <v>16</v>
      </c>
      <c r="AV37" s="184"/>
      <c r="AW37" s="184"/>
      <c r="AX37" s="154">
        <v>0</v>
      </c>
      <c r="AY37" s="185">
        <v>333</v>
      </c>
      <c r="AZ37" s="131">
        <v>4</v>
      </c>
      <c r="BA37" s="131">
        <v>2</v>
      </c>
      <c r="BB37" s="130"/>
      <c r="BC37" s="130"/>
      <c r="BD37" s="130">
        <v>-2</v>
      </c>
      <c r="BE37" s="130">
        <v>2</v>
      </c>
      <c r="BF37" s="130"/>
      <c r="BG37" s="130"/>
      <c r="BH37" s="130"/>
      <c r="BI37" s="130">
        <v>1</v>
      </c>
      <c r="BJ37" s="185"/>
      <c r="BK37" s="185"/>
      <c r="BL37" s="185"/>
      <c r="BM37" s="185">
        <v>1</v>
      </c>
      <c r="BN37" s="185"/>
      <c r="BO37" s="185"/>
      <c r="BP37" s="185"/>
      <c r="BQ37" s="185"/>
      <c r="BR37" s="185"/>
      <c r="BS37" s="185"/>
      <c r="BT37" s="185"/>
      <c r="BU37" s="185"/>
      <c r="BV37" s="185"/>
      <c r="BW37" s="185"/>
      <c r="BX37" s="184">
        <v>-2</v>
      </c>
      <c r="BY37" s="185"/>
      <c r="BZ37" s="154"/>
      <c r="CA37" s="185"/>
      <c r="CB37" s="130">
        <v>2</v>
      </c>
      <c r="CC37" s="130">
        <v>0</v>
      </c>
      <c r="CD37" s="130">
        <v>335</v>
      </c>
      <c r="CE37" s="130">
        <v>4</v>
      </c>
      <c r="CF37" s="130">
        <v>337</v>
      </c>
      <c r="CG37" s="130">
        <v>2</v>
      </c>
      <c r="CH37" s="220">
        <f>+CF37+CG37</f>
        <v>339</v>
      </c>
    </row>
    <row r="38" spans="1:86" x14ac:dyDescent="0.25">
      <c r="A38" s="14">
        <v>22</v>
      </c>
      <c r="B38" s="2" t="s">
        <v>25</v>
      </c>
      <c r="C38" s="15"/>
      <c r="D38" s="183"/>
      <c r="E38" s="150">
        <v>111</v>
      </c>
      <c r="F38" s="150"/>
      <c r="G38" s="136"/>
      <c r="H38" s="136"/>
      <c r="I38" s="136">
        <v>-2</v>
      </c>
      <c r="J38" s="136">
        <v>-1</v>
      </c>
      <c r="K38" s="136">
        <v>-3</v>
      </c>
      <c r="L38" s="136">
        <v>-2</v>
      </c>
      <c r="M38" s="136">
        <v>-3</v>
      </c>
      <c r="N38" s="136"/>
      <c r="O38" s="136"/>
      <c r="P38" s="136"/>
      <c r="Q38" s="183"/>
      <c r="R38" s="183">
        <v>-3</v>
      </c>
      <c r="S38" s="183"/>
      <c r="T38" s="183"/>
      <c r="U38" s="183"/>
      <c r="V38" s="183">
        <v>-1</v>
      </c>
      <c r="W38" s="183"/>
      <c r="X38" s="131">
        <v>107</v>
      </c>
      <c r="Y38" s="131">
        <v>19</v>
      </c>
      <c r="Z38" s="130">
        <v>9</v>
      </c>
      <c r="AA38" s="130">
        <v>9</v>
      </c>
      <c r="AB38" s="130">
        <v>21</v>
      </c>
      <c r="AC38" s="130">
        <v>13</v>
      </c>
      <c r="AD38" s="130">
        <v>8</v>
      </c>
      <c r="AE38" s="130">
        <v>11</v>
      </c>
      <c r="AF38" s="130">
        <v>16</v>
      </c>
      <c r="AG38" s="130">
        <v>8</v>
      </c>
      <c r="AH38" s="185"/>
      <c r="AI38" s="185">
        <v>14</v>
      </c>
      <c r="AJ38" s="185">
        <v>5</v>
      </c>
      <c r="AK38" s="185">
        <v>2</v>
      </c>
      <c r="AL38" s="185">
        <v>10</v>
      </c>
      <c r="AM38" s="185">
        <v>9</v>
      </c>
      <c r="AN38" s="184">
        <v>4</v>
      </c>
      <c r="AO38" s="185">
        <v>3</v>
      </c>
      <c r="AP38" s="185">
        <v>12</v>
      </c>
      <c r="AQ38" s="185">
        <v>1</v>
      </c>
      <c r="AR38" s="184">
        <v>2</v>
      </c>
      <c r="AS38" s="169">
        <v>1</v>
      </c>
      <c r="AT38" s="169">
        <v>16</v>
      </c>
      <c r="AU38" s="130">
        <v>3</v>
      </c>
      <c r="AV38" s="184">
        <v>1</v>
      </c>
      <c r="AW38" s="184">
        <v>1</v>
      </c>
      <c r="AX38" s="154">
        <v>2</v>
      </c>
      <c r="AY38" s="185">
        <v>292</v>
      </c>
      <c r="AZ38" s="131">
        <v>2</v>
      </c>
      <c r="BA38" s="131">
        <v>6</v>
      </c>
      <c r="BB38" s="130">
        <v>1</v>
      </c>
      <c r="BC38" s="130">
        <v>5</v>
      </c>
      <c r="BD38" s="130">
        <v>-1</v>
      </c>
      <c r="BE38" s="130">
        <v>1</v>
      </c>
      <c r="BF38" s="130">
        <v>1</v>
      </c>
      <c r="BG38" s="130"/>
      <c r="BH38" s="130">
        <v>4</v>
      </c>
      <c r="BI38" s="130">
        <v>7</v>
      </c>
      <c r="BJ38" s="185"/>
      <c r="BK38" s="185"/>
      <c r="BL38" s="185">
        <v>1</v>
      </c>
      <c r="BM38" s="185"/>
      <c r="BN38" s="185">
        <v>1</v>
      </c>
      <c r="BO38" s="185">
        <v>1</v>
      </c>
      <c r="BP38" s="185">
        <v>4</v>
      </c>
      <c r="BQ38" s="185">
        <v>3</v>
      </c>
      <c r="BR38" s="185">
        <v>6</v>
      </c>
      <c r="BS38" s="185"/>
      <c r="BT38" s="185"/>
      <c r="BU38" s="185">
        <v>2</v>
      </c>
      <c r="BV38" s="185">
        <v>1</v>
      </c>
      <c r="BW38" s="185"/>
      <c r="BX38" s="184">
        <v>-1</v>
      </c>
      <c r="BY38" s="185"/>
      <c r="BZ38" s="154">
        <v>1</v>
      </c>
      <c r="CA38" s="185">
        <v>0</v>
      </c>
      <c r="CB38" s="130">
        <v>43</v>
      </c>
      <c r="CC38" s="130">
        <v>1</v>
      </c>
      <c r="CD38" s="130">
        <v>335</v>
      </c>
      <c r="CE38" s="130">
        <v>3</v>
      </c>
      <c r="CF38" s="130">
        <v>294</v>
      </c>
      <c r="CG38" s="130">
        <v>44</v>
      </c>
      <c r="CH38" s="220">
        <f>+CF38+CG38</f>
        <v>338</v>
      </c>
    </row>
    <row r="39" spans="1:86" x14ac:dyDescent="0.25">
      <c r="A39" s="14">
        <v>1</v>
      </c>
      <c r="B39" s="254" t="s">
        <v>5</v>
      </c>
      <c r="C39" s="15"/>
      <c r="D39" s="183"/>
      <c r="E39" s="150">
        <v>47</v>
      </c>
      <c r="F39" s="150"/>
      <c r="G39" s="136"/>
      <c r="H39" s="136"/>
      <c r="I39" s="136"/>
      <c r="J39" s="136"/>
      <c r="K39" s="136">
        <v>-1</v>
      </c>
      <c r="L39" s="136"/>
      <c r="M39" s="136"/>
      <c r="N39" s="136"/>
      <c r="O39" s="136">
        <v>-1</v>
      </c>
      <c r="P39" s="136"/>
      <c r="Q39" s="183"/>
      <c r="R39" s="183">
        <v>-5</v>
      </c>
      <c r="S39" s="183"/>
      <c r="T39" s="183"/>
      <c r="U39" s="183">
        <v>-3</v>
      </c>
      <c r="V39" s="183"/>
      <c r="W39" s="183"/>
      <c r="X39" s="131">
        <v>43</v>
      </c>
      <c r="Y39" s="131">
        <v>2</v>
      </c>
      <c r="Z39" s="130"/>
      <c r="AA39" s="130">
        <v>29</v>
      </c>
      <c r="AB39" s="130">
        <v>30</v>
      </c>
      <c r="AC39" s="130">
        <v>8</v>
      </c>
      <c r="AD39" s="130">
        <v>18</v>
      </c>
      <c r="AE39" s="130">
        <v>5</v>
      </c>
      <c r="AF39" s="130">
        <v>3</v>
      </c>
      <c r="AG39" s="169">
        <v>2</v>
      </c>
      <c r="AH39" s="185">
        <v>10</v>
      </c>
      <c r="AI39" s="169">
        <v>7</v>
      </c>
      <c r="AJ39" s="185">
        <v>8</v>
      </c>
      <c r="AK39" s="185">
        <v>124</v>
      </c>
      <c r="AL39" s="169">
        <v>2</v>
      </c>
      <c r="AM39" s="169">
        <v>10</v>
      </c>
      <c r="AN39" s="173">
        <v>4</v>
      </c>
      <c r="AO39" s="185">
        <v>7</v>
      </c>
      <c r="AP39" s="185">
        <v>3</v>
      </c>
      <c r="AQ39" s="185"/>
      <c r="AR39" s="229">
        <v>2</v>
      </c>
      <c r="AS39" s="169">
        <v>5</v>
      </c>
      <c r="AT39" s="169">
        <v>1</v>
      </c>
      <c r="AU39" s="169">
        <v>0</v>
      </c>
      <c r="AV39" s="173">
        <v>8</v>
      </c>
      <c r="AW39" s="228">
        <v>1</v>
      </c>
      <c r="AX39" s="154">
        <v>-9</v>
      </c>
      <c r="AY39" s="185">
        <v>313</v>
      </c>
      <c r="AZ39" s="131">
        <v>3</v>
      </c>
      <c r="BA39" s="131">
        <v>5</v>
      </c>
      <c r="BB39" s="130"/>
      <c r="BC39" s="130"/>
      <c r="BD39" s="130">
        <v>-1</v>
      </c>
      <c r="BE39" s="130"/>
      <c r="BF39" s="130"/>
      <c r="BG39" s="130"/>
      <c r="BH39" s="130"/>
      <c r="BI39" s="130"/>
      <c r="BJ39" s="185"/>
      <c r="BK39" s="169"/>
      <c r="BL39" s="185"/>
      <c r="BM39" s="185"/>
      <c r="BN39" s="169"/>
      <c r="BO39" s="169"/>
      <c r="BP39" s="185"/>
      <c r="BQ39" s="185">
        <v>3</v>
      </c>
      <c r="BR39" s="185"/>
      <c r="BS39" s="185"/>
      <c r="BT39" s="227"/>
      <c r="BU39" s="185"/>
      <c r="BV39" s="185"/>
      <c r="BW39" s="184"/>
      <c r="BX39" s="173"/>
      <c r="BY39" s="228">
        <v>0</v>
      </c>
      <c r="BZ39" s="154"/>
      <c r="CA39" s="185">
        <v>0</v>
      </c>
      <c r="CB39" s="130">
        <v>7</v>
      </c>
      <c r="CC39" s="130">
        <v>0</v>
      </c>
      <c r="CD39" s="130">
        <v>320</v>
      </c>
      <c r="CE39" s="130">
        <v>3</v>
      </c>
      <c r="CF39" s="130">
        <v>316</v>
      </c>
      <c r="CG39" s="130">
        <v>7</v>
      </c>
      <c r="CH39" s="220">
        <f>+CF39+CG39</f>
        <v>323</v>
      </c>
    </row>
    <row r="40" spans="1:86" x14ac:dyDescent="0.25">
      <c r="A40" s="14">
        <v>12</v>
      </c>
      <c r="B40" s="2" t="s">
        <v>16</v>
      </c>
      <c r="C40" s="15"/>
      <c r="D40" s="183">
        <v>-1</v>
      </c>
      <c r="E40" s="150">
        <v>150</v>
      </c>
      <c r="F40" s="150"/>
      <c r="G40" s="136"/>
      <c r="H40" s="136">
        <v>-2</v>
      </c>
      <c r="I40" s="136"/>
      <c r="J40" s="136"/>
      <c r="K40" s="136">
        <v>-1</v>
      </c>
      <c r="L40" s="136"/>
      <c r="M40" s="136"/>
      <c r="N40" s="136"/>
      <c r="O40" s="136">
        <v>-1</v>
      </c>
      <c r="P40" s="136"/>
      <c r="Q40" s="183"/>
      <c r="R40" s="183">
        <v>-6</v>
      </c>
      <c r="S40" s="183">
        <v>-1</v>
      </c>
      <c r="T40" s="183"/>
      <c r="U40" s="183">
        <v>-3</v>
      </c>
      <c r="V40" s="183">
        <v>-1</v>
      </c>
      <c r="W40" s="183">
        <v>-1</v>
      </c>
      <c r="X40" s="131">
        <v>147</v>
      </c>
      <c r="Y40" s="131"/>
      <c r="Z40" s="130">
        <v>6</v>
      </c>
      <c r="AA40" s="130">
        <v>16</v>
      </c>
      <c r="AB40" s="130">
        <v>2</v>
      </c>
      <c r="AC40" s="130">
        <v>1</v>
      </c>
      <c r="AD40" s="130">
        <v>10</v>
      </c>
      <c r="AE40" s="130">
        <v>9</v>
      </c>
      <c r="AF40" s="130">
        <v>6</v>
      </c>
      <c r="AG40" s="130">
        <v>1</v>
      </c>
      <c r="AH40" s="185">
        <v>6</v>
      </c>
      <c r="AI40" s="185">
        <v>56</v>
      </c>
      <c r="AJ40" s="185">
        <v>1</v>
      </c>
      <c r="AK40" s="185">
        <v>18</v>
      </c>
      <c r="AL40" s="185">
        <v>6</v>
      </c>
      <c r="AM40" s="185">
        <v>6</v>
      </c>
      <c r="AN40" s="185">
        <v>0</v>
      </c>
      <c r="AO40" s="185">
        <v>5</v>
      </c>
      <c r="AP40" s="185">
        <v>3</v>
      </c>
      <c r="AQ40" s="185">
        <v>3</v>
      </c>
      <c r="AR40" s="185">
        <v>6</v>
      </c>
      <c r="AS40" s="185">
        <v>2</v>
      </c>
      <c r="AT40" s="169">
        <v>5</v>
      </c>
      <c r="AU40" s="169">
        <v>5</v>
      </c>
      <c r="AV40" s="173">
        <v>0</v>
      </c>
      <c r="AW40" s="229">
        <v>3</v>
      </c>
      <c r="AX40" s="224">
        <v>4</v>
      </c>
      <c r="AY40" s="185">
        <v>311</v>
      </c>
      <c r="AZ40" s="131">
        <v>2</v>
      </c>
      <c r="BA40" s="131">
        <v>3</v>
      </c>
      <c r="BB40" s="130"/>
      <c r="BC40" s="130">
        <v>2</v>
      </c>
      <c r="BD40" s="130">
        <v>-3</v>
      </c>
      <c r="BE40" s="130"/>
      <c r="BF40" s="130"/>
      <c r="BG40" s="130"/>
      <c r="BH40" s="130"/>
      <c r="BI40" s="130"/>
      <c r="BJ40" s="185"/>
      <c r="BK40" s="185"/>
      <c r="BL40" s="185"/>
      <c r="BM40" s="185"/>
      <c r="BN40" s="185"/>
      <c r="BO40" s="185"/>
      <c r="BP40" s="185"/>
      <c r="BQ40" s="185"/>
      <c r="BR40" s="185">
        <v>1</v>
      </c>
      <c r="BS40" s="185"/>
      <c r="BT40" s="185"/>
      <c r="BU40" s="185"/>
      <c r="BV40" s="185"/>
      <c r="BW40" s="185"/>
      <c r="BX40" s="184"/>
      <c r="BY40" s="228"/>
      <c r="BZ40" s="224"/>
      <c r="CA40" s="185">
        <v>0</v>
      </c>
      <c r="CB40" s="130">
        <v>3</v>
      </c>
      <c r="CC40" s="130">
        <v>0</v>
      </c>
      <c r="CD40" s="130">
        <v>314</v>
      </c>
      <c r="CE40" s="130">
        <v>2</v>
      </c>
      <c r="CF40" s="130">
        <v>312</v>
      </c>
      <c r="CG40" s="130">
        <v>3</v>
      </c>
      <c r="CH40" s="220">
        <f>+CF40+CG40</f>
        <v>315</v>
      </c>
    </row>
    <row r="41" spans="1:86" x14ac:dyDescent="0.25">
      <c r="A41" s="14">
        <v>11</v>
      </c>
      <c r="B41" s="2" t="s">
        <v>15</v>
      </c>
      <c r="C41" s="15"/>
      <c r="D41" s="183"/>
      <c r="E41" s="150">
        <v>73</v>
      </c>
      <c r="F41" s="150"/>
      <c r="G41" s="136"/>
      <c r="H41" s="136"/>
      <c r="I41" s="136"/>
      <c r="J41" s="136"/>
      <c r="K41" s="136">
        <v>-1</v>
      </c>
      <c r="L41" s="136"/>
      <c r="M41" s="136"/>
      <c r="N41" s="136">
        <v>-1</v>
      </c>
      <c r="O41" s="136"/>
      <c r="P41" s="136"/>
      <c r="Q41" s="183"/>
      <c r="R41" s="183">
        <v>-4</v>
      </c>
      <c r="S41" s="183"/>
      <c r="T41" s="183"/>
      <c r="U41" s="183"/>
      <c r="V41" s="183"/>
      <c r="W41" s="183"/>
      <c r="X41" s="131">
        <v>93</v>
      </c>
      <c r="Y41" s="131">
        <v>1</v>
      </c>
      <c r="Z41" s="130"/>
      <c r="AA41" s="130">
        <v>3</v>
      </c>
      <c r="AB41" s="130">
        <v>2</v>
      </c>
      <c r="AC41" s="130">
        <v>1</v>
      </c>
      <c r="AD41" s="130">
        <v>37</v>
      </c>
      <c r="AE41" s="130">
        <v>1</v>
      </c>
      <c r="AF41" s="130">
        <v>13</v>
      </c>
      <c r="AG41" s="130">
        <v>15</v>
      </c>
      <c r="AH41" s="185">
        <v>8</v>
      </c>
      <c r="AI41" s="185">
        <v>1</v>
      </c>
      <c r="AJ41" s="185">
        <v>8</v>
      </c>
      <c r="AK41" s="185">
        <v>10</v>
      </c>
      <c r="AL41" s="185">
        <v>12</v>
      </c>
      <c r="AM41" s="185">
        <v>12</v>
      </c>
      <c r="AN41" s="173">
        <v>1</v>
      </c>
      <c r="AO41" s="185"/>
      <c r="AP41" s="185">
        <v>1</v>
      </c>
      <c r="AQ41" s="185">
        <v>2</v>
      </c>
      <c r="AR41" s="184">
        <v>1</v>
      </c>
      <c r="AS41" s="173">
        <v>2</v>
      </c>
      <c r="AT41" s="169">
        <v>36</v>
      </c>
      <c r="AU41" s="169">
        <v>35</v>
      </c>
      <c r="AV41" s="173">
        <v>2</v>
      </c>
      <c r="AW41" s="229">
        <v>2</v>
      </c>
      <c r="AX41" s="154">
        <v>10</v>
      </c>
      <c r="AY41" s="185">
        <v>303</v>
      </c>
      <c r="AZ41" s="131">
        <v>6</v>
      </c>
      <c r="BA41" s="131">
        <v>1</v>
      </c>
      <c r="BB41" s="130"/>
      <c r="BC41" s="130"/>
      <c r="BD41" s="130">
        <v>-1</v>
      </c>
      <c r="BE41" s="130"/>
      <c r="BF41" s="130"/>
      <c r="BG41" s="130">
        <v>1</v>
      </c>
      <c r="BH41" s="130"/>
      <c r="BI41" s="130"/>
      <c r="BJ41" s="185"/>
      <c r="BK41" s="185"/>
      <c r="BL41" s="185"/>
      <c r="BM41" s="185"/>
      <c r="BN41" s="185"/>
      <c r="BO41" s="185"/>
      <c r="BP41" s="185">
        <v>1</v>
      </c>
      <c r="BQ41" s="185">
        <v>1</v>
      </c>
      <c r="BR41" s="185"/>
      <c r="BS41" s="185"/>
      <c r="BT41" s="185"/>
      <c r="BU41" s="185"/>
      <c r="BV41" s="185"/>
      <c r="BW41" s="185"/>
      <c r="BX41" s="184">
        <v>1</v>
      </c>
      <c r="BY41" s="228"/>
      <c r="BZ41" s="154"/>
      <c r="CA41" s="185">
        <v>0</v>
      </c>
      <c r="CB41" s="130">
        <v>4</v>
      </c>
      <c r="CC41" s="130">
        <v>0</v>
      </c>
      <c r="CD41" s="130">
        <v>307</v>
      </c>
      <c r="CE41" s="130">
        <v>6</v>
      </c>
      <c r="CF41" s="130">
        <v>309</v>
      </c>
      <c r="CG41" s="130">
        <v>4</v>
      </c>
      <c r="CH41" s="220">
        <f>+CF41+CG41</f>
        <v>313</v>
      </c>
    </row>
    <row r="42" spans="1:86" x14ac:dyDescent="0.25">
      <c r="A42" s="14">
        <v>61</v>
      </c>
      <c r="B42" s="2" t="s">
        <v>64</v>
      </c>
      <c r="C42" s="15"/>
      <c r="D42" s="183"/>
      <c r="E42" s="150">
        <v>236</v>
      </c>
      <c r="F42" s="150">
        <v>-4</v>
      </c>
      <c r="G42" s="136"/>
      <c r="H42" s="136">
        <v>-26</v>
      </c>
      <c r="I42" s="136"/>
      <c r="J42" s="136"/>
      <c r="K42" s="136"/>
      <c r="L42" s="136">
        <v>-3</v>
      </c>
      <c r="M42" s="136">
        <v>-1</v>
      </c>
      <c r="N42" s="136"/>
      <c r="O42" s="136"/>
      <c r="P42" s="136">
        <v>-1</v>
      </c>
      <c r="Q42" s="183">
        <v>-1</v>
      </c>
      <c r="R42" s="183">
        <v>-1</v>
      </c>
      <c r="S42" s="183"/>
      <c r="T42" s="183"/>
      <c r="U42" s="183">
        <v>-1</v>
      </c>
      <c r="V42" s="183"/>
      <c r="W42" s="183">
        <v>-3</v>
      </c>
      <c r="X42" s="131">
        <v>220</v>
      </c>
      <c r="Y42" s="131">
        <v>10</v>
      </c>
      <c r="Z42" s="130">
        <v>1</v>
      </c>
      <c r="AA42" s="130">
        <v>34</v>
      </c>
      <c r="AB42" s="130">
        <v>5</v>
      </c>
      <c r="AC42" s="130">
        <v>3</v>
      </c>
      <c r="AD42" s="130">
        <v>5</v>
      </c>
      <c r="AE42" s="130">
        <v>4</v>
      </c>
      <c r="AF42" s="130">
        <v>5</v>
      </c>
      <c r="AG42" s="130">
        <v>2</v>
      </c>
      <c r="AH42" s="185">
        <v>4</v>
      </c>
      <c r="AI42" s="185">
        <v>2</v>
      </c>
      <c r="AJ42" s="185">
        <v>7</v>
      </c>
      <c r="AK42" s="185"/>
      <c r="AL42" s="185">
        <v>1</v>
      </c>
      <c r="AM42" s="185">
        <v>1</v>
      </c>
      <c r="AN42" s="185"/>
      <c r="AO42" s="185">
        <v>1</v>
      </c>
      <c r="AP42" s="185">
        <v>2</v>
      </c>
      <c r="AQ42" s="185">
        <v>12</v>
      </c>
      <c r="AR42" s="185">
        <v>3</v>
      </c>
      <c r="AS42" s="185">
        <v>2</v>
      </c>
      <c r="AT42" s="169">
        <v>0</v>
      </c>
      <c r="AU42" s="130">
        <v>1</v>
      </c>
      <c r="AV42" s="184">
        <v>2</v>
      </c>
      <c r="AW42" s="185">
        <v>1</v>
      </c>
      <c r="AX42" s="154">
        <v>1</v>
      </c>
      <c r="AY42" s="185">
        <v>288</v>
      </c>
      <c r="AZ42" s="131">
        <v>2</v>
      </c>
      <c r="BA42" s="131">
        <v>21</v>
      </c>
      <c r="BB42" s="130"/>
      <c r="BC42" s="130"/>
      <c r="BD42" s="130">
        <v>-4</v>
      </c>
      <c r="BE42" s="130"/>
      <c r="BF42" s="130"/>
      <c r="BG42" s="130">
        <v>1</v>
      </c>
      <c r="BH42" s="130"/>
      <c r="BI42" s="130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>
        <v>1</v>
      </c>
      <c r="BU42" s="185"/>
      <c r="BV42" s="229"/>
      <c r="BW42" s="185"/>
      <c r="BX42" s="184"/>
      <c r="BY42" s="185"/>
      <c r="BZ42" s="154">
        <v>2</v>
      </c>
      <c r="CA42" s="185"/>
      <c r="CB42" s="130">
        <v>21</v>
      </c>
      <c r="CC42" s="130">
        <v>0</v>
      </c>
      <c r="CD42" s="130">
        <v>309</v>
      </c>
      <c r="CE42" s="130">
        <v>2</v>
      </c>
      <c r="CF42" s="130">
        <v>290</v>
      </c>
      <c r="CG42" s="130">
        <v>21</v>
      </c>
      <c r="CH42" s="220">
        <f>+CF42+CG42</f>
        <v>311</v>
      </c>
    </row>
    <row r="43" spans="1:86" x14ac:dyDescent="0.25">
      <c r="A43" s="14">
        <v>68</v>
      </c>
      <c r="B43" s="2" t="s">
        <v>71</v>
      </c>
      <c r="C43" s="15"/>
      <c r="D43" s="183">
        <v>-3</v>
      </c>
      <c r="E43" s="150">
        <v>84</v>
      </c>
      <c r="F43" s="150"/>
      <c r="G43" s="136"/>
      <c r="H43" s="136">
        <v>-3</v>
      </c>
      <c r="I43" s="136"/>
      <c r="J43" s="136"/>
      <c r="K43" s="136">
        <v>-2</v>
      </c>
      <c r="L43" s="136"/>
      <c r="M43" s="136"/>
      <c r="N43" s="136"/>
      <c r="O43" s="136"/>
      <c r="P43" s="136"/>
      <c r="Q43" s="183">
        <v>-1</v>
      </c>
      <c r="R43" s="183"/>
      <c r="S43" s="183">
        <v>-1</v>
      </c>
      <c r="T43" s="183"/>
      <c r="U43" s="183"/>
      <c r="V43" s="183"/>
      <c r="W43" s="183"/>
      <c r="X43" s="131">
        <v>104</v>
      </c>
      <c r="Y43" s="131">
        <v>4</v>
      </c>
      <c r="Z43" s="130">
        <v>10</v>
      </c>
      <c r="AA43" s="130">
        <v>10</v>
      </c>
      <c r="AB43" s="130">
        <v>16</v>
      </c>
      <c r="AC43" s="130">
        <v>1</v>
      </c>
      <c r="AD43" s="130">
        <v>16</v>
      </c>
      <c r="AE43" s="130">
        <v>4</v>
      </c>
      <c r="AF43" s="130">
        <v>5</v>
      </c>
      <c r="AG43" s="130">
        <v>16</v>
      </c>
      <c r="AH43" s="185">
        <v>13</v>
      </c>
      <c r="AI43" s="185">
        <v>6</v>
      </c>
      <c r="AJ43" s="185">
        <v>6</v>
      </c>
      <c r="AK43" s="185">
        <v>6</v>
      </c>
      <c r="AL43" s="185">
        <v>13</v>
      </c>
      <c r="AM43" s="185">
        <v>3</v>
      </c>
      <c r="AN43" s="184">
        <v>8</v>
      </c>
      <c r="AO43" s="185">
        <v>2</v>
      </c>
      <c r="AP43" s="185">
        <v>3</v>
      </c>
      <c r="AQ43" s="185">
        <v>7</v>
      </c>
      <c r="AR43" s="185">
        <v>8</v>
      </c>
      <c r="AS43" s="169">
        <v>12</v>
      </c>
      <c r="AT43" s="185">
        <v>1</v>
      </c>
      <c r="AU43" s="185">
        <v>12</v>
      </c>
      <c r="AV43" s="184">
        <v>6</v>
      </c>
      <c r="AW43" s="185">
        <v>1</v>
      </c>
      <c r="AX43" s="154">
        <v>2</v>
      </c>
      <c r="AY43" s="185">
        <v>288</v>
      </c>
      <c r="AZ43" s="131">
        <v>5</v>
      </c>
      <c r="BA43" s="131"/>
      <c r="BB43" s="130"/>
      <c r="BC43" s="130"/>
      <c r="BD43" s="130"/>
      <c r="BE43" s="130"/>
      <c r="BF43" s="130"/>
      <c r="BG43" s="130"/>
      <c r="BH43" s="130">
        <v>1</v>
      </c>
      <c r="BI43" s="130"/>
      <c r="BJ43" s="185">
        <v>5</v>
      </c>
      <c r="BK43" s="185"/>
      <c r="BL43" s="185"/>
      <c r="BM43" s="185"/>
      <c r="BN43" s="185"/>
      <c r="BO43" s="185"/>
      <c r="BP43" s="185"/>
      <c r="BQ43" s="185"/>
      <c r="BR43" s="185">
        <v>1</v>
      </c>
      <c r="BS43" s="185">
        <v>2</v>
      </c>
      <c r="BT43" s="185"/>
      <c r="BU43" s="185"/>
      <c r="BV43" s="185">
        <v>4</v>
      </c>
      <c r="BW43" s="185"/>
      <c r="BX43" s="184"/>
      <c r="BY43" s="185"/>
      <c r="BZ43" s="154"/>
      <c r="CA43" s="185">
        <v>5</v>
      </c>
      <c r="CB43" s="130">
        <v>18</v>
      </c>
      <c r="CC43" s="130">
        <v>1</v>
      </c>
      <c r="CD43" s="130">
        <v>306</v>
      </c>
      <c r="CE43" s="130">
        <v>6</v>
      </c>
      <c r="CF43" s="130">
        <v>290</v>
      </c>
      <c r="CG43" s="130">
        <v>19</v>
      </c>
      <c r="CH43" s="220">
        <f>+CF43+CG43</f>
        <v>309</v>
      </c>
    </row>
    <row r="44" spans="1:86" x14ac:dyDescent="0.25">
      <c r="A44" s="14">
        <v>24</v>
      </c>
      <c r="B44" s="2" t="s">
        <v>27</v>
      </c>
      <c r="C44" s="15"/>
      <c r="D44" s="183"/>
      <c r="E44" s="150">
        <v>69</v>
      </c>
      <c r="F44" s="150">
        <v>-1</v>
      </c>
      <c r="G44" s="136"/>
      <c r="H44" s="136"/>
      <c r="I44" s="136">
        <v>-2</v>
      </c>
      <c r="J44" s="136"/>
      <c r="K44" s="136"/>
      <c r="L44" s="136"/>
      <c r="M44" s="136"/>
      <c r="N44" s="136"/>
      <c r="O44" s="136"/>
      <c r="P44" s="136"/>
      <c r="Q44" s="183"/>
      <c r="R44" s="183">
        <v>-1</v>
      </c>
      <c r="S44" s="183">
        <v>-5</v>
      </c>
      <c r="T44" s="183">
        <v>-4</v>
      </c>
      <c r="U44" s="183">
        <v>-4</v>
      </c>
      <c r="V44" s="183">
        <v>-2</v>
      </c>
      <c r="W44" s="183"/>
      <c r="X44" s="131">
        <v>63</v>
      </c>
      <c r="Y44" s="131">
        <v>20</v>
      </c>
      <c r="Z44" s="130">
        <v>6</v>
      </c>
      <c r="AA44" s="130">
        <v>9</v>
      </c>
      <c r="AB44" s="130">
        <v>16</v>
      </c>
      <c r="AC44" s="130">
        <v>1</v>
      </c>
      <c r="AD44" s="130">
        <v>13</v>
      </c>
      <c r="AE44" s="130">
        <v>17</v>
      </c>
      <c r="AF44" s="130">
        <v>16</v>
      </c>
      <c r="AG44" s="130">
        <v>13</v>
      </c>
      <c r="AH44" s="185">
        <v>16</v>
      </c>
      <c r="AI44" s="185">
        <v>20</v>
      </c>
      <c r="AJ44" s="185">
        <v>17</v>
      </c>
      <c r="AK44" s="185">
        <v>25</v>
      </c>
      <c r="AL44" s="185">
        <v>2</v>
      </c>
      <c r="AM44" s="185">
        <v>10</v>
      </c>
      <c r="AN44" s="184">
        <v>12</v>
      </c>
      <c r="AO44" s="185">
        <v>11</v>
      </c>
      <c r="AP44" s="185">
        <v>6</v>
      </c>
      <c r="AQ44" s="185">
        <v>1</v>
      </c>
      <c r="AR44" s="173">
        <v>2</v>
      </c>
      <c r="AS44" s="184">
        <v>3</v>
      </c>
      <c r="AT44" s="185">
        <v>2</v>
      </c>
      <c r="AU44" s="169">
        <v>1</v>
      </c>
      <c r="AV44" s="184">
        <v>2</v>
      </c>
      <c r="AW44" s="185">
        <v>1</v>
      </c>
      <c r="AX44" s="154">
        <v>2</v>
      </c>
      <c r="AY44" s="185">
        <v>288</v>
      </c>
      <c r="AZ44" s="131">
        <v>5</v>
      </c>
      <c r="BA44" s="131">
        <v>6</v>
      </c>
      <c r="BB44" s="130">
        <v>2</v>
      </c>
      <c r="BC44" s="130"/>
      <c r="BD44" s="130">
        <v>-8</v>
      </c>
      <c r="BE44" s="130"/>
      <c r="BF44" s="130"/>
      <c r="BG44" s="130"/>
      <c r="BH44" s="130"/>
      <c r="BI44" s="130"/>
      <c r="BJ44" s="185">
        <v>1</v>
      </c>
      <c r="BK44" s="185"/>
      <c r="BL44" s="185">
        <v>1</v>
      </c>
      <c r="BM44" s="185">
        <v>1</v>
      </c>
      <c r="BN44" s="185"/>
      <c r="BO44" s="185">
        <v>1</v>
      </c>
      <c r="BP44" s="185"/>
      <c r="BQ44" s="185">
        <v>2</v>
      </c>
      <c r="BR44" s="185"/>
      <c r="BS44" s="185"/>
      <c r="BT44" s="185"/>
      <c r="BU44" s="185"/>
      <c r="BV44" s="185"/>
      <c r="BW44" s="185">
        <v>1</v>
      </c>
      <c r="BX44" s="184"/>
      <c r="BY44" s="185"/>
      <c r="BZ44" s="154">
        <v>1</v>
      </c>
      <c r="CA44" s="185">
        <v>0</v>
      </c>
      <c r="CB44" s="130">
        <v>8</v>
      </c>
      <c r="CC44" s="130">
        <v>0</v>
      </c>
      <c r="CD44" s="130">
        <v>296</v>
      </c>
      <c r="CE44" s="130">
        <v>5</v>
      </c>
      <c r="CF44" s="130">
        <v>293</v>
      </c>
      <c r="CG44" s="130">
        <v>8</v>
      </c>
      <c r="CH44" s="220">
        <f>+CF44+CG44</f>
        <v>301</v>
      </c>
    </row>
    <row r="45" spans="1:86" x14ac:dyDescent="0.25">
      <c r="A45" s="14">
        <v>16</v>
      </c>
      <c r="B45" s="2" t="s">
        <v>20</v>
      </c>
      <c r="C45" s="22"/>
      <c r="D45" s="183">
        <v>-3</v>
      </c>
      <c r="E45" s="150">
        <v>52</v>
      </c>
      <c r="F45" s="150"/>
      <c r="G45" s="136"/>
      <c r="H45" s="136"/>
      <c r="I45" s="136"/>
      <c r="J45" s="136"/>
      <c r="K45" s="136"/>
      <c r="L45" s="136"/>
      <c r="M45" s="136">
        <v>-1</v>
      </c>
      <c r="N45" s="136">
        <v>-3</v>
      </c>
      <c r="O45" s="136"/>
      <c r="P45" s="136"/>
      <c r="Q45" s="183">
        <v>-1</v>
      </c>
      <c r="R45" s="183">
        <v>-2</v>
      </c>
      <c r="S45" s="183">
        <v>-2</v>
      </c>
      <c r="T45" s="183"/>
      <c r="U45" s="183"/>
      <c r="V45" s="183"/>
      <c r="W45" s="183">
        <v>-1</v>
      </c>
      <c r="X45" s="131">
        <v>55</v>
      </c>
      <c r="Y45" s="131">
        <v>6</v>
      </c>
      <c r="Z45" s="130">
        <v>5</v>
      </c>
      <c r="AA45" s="130">
        <v>10</v>
      </c>
      <c r="AB45" s="130">
        <v>23</v>
      </c>
      <c r="AC45" s="130">
        <v>7</v>
      </c>
      <c r="AD45" s="130">
        <v>16</v>
      </c>
      <c r="AE45" s="130">
        <v>10</v>
      </c>
      <c r="AF45" s="130">
        <v>15</v>
      </c>
      <c r="AG45" s="130">
        <v>20</v>
      </c>
      <c r="AH45" s="185">
        <v>18</v>
      </c>
      <c r="AI45" s="185">
        <v>7</v>
      </c>
      <c r="AJ45" s="185">
        <v>21</v>
      </c>
      <c r="AK45" s="185">
        <v>13</v>
      </c>
      <c r="AL45" s="185">
        <v>27</v>
      </c>
      <c r="AM45" s="185">
        <v>12</v>
      </c>
      <c r="AN45" s="184">
        <v>5</v>
      </c>
      <c r="AO45" s="185">
        <v>16</v>
      </c>
      <c r="AP45" s="185">
        <v>4</v>
      </c>
      <c r="AQ45" s="185">
        <v>5</v>
      </c>
      <c r="AR45" s="230">
        <v>0</v>
      </c>
      <c r="AS45" s="230">
        <v>0</v>
      </c>
      <c r="AT45" s="169">
        <v>0</v>
      </c>
      <c r="AU45" s="227">
        <v>2</v>
      </c>
      <c r="AV45" s="230">
        <v>1</v>
      </c>
      <c r="AW45" s="169">
        <v>1</v>
      </c>
      <c r="AX45" s="154">
        <v>1</v>
      </c>
      <c r="AY45" s="185">
        <v>290</v>
      </c>
      <c r="AZ45" s="131">
        <v>0</v>
      </c>
      <c r="BA45" s="131">
        <v>1</v>
      </c>
      <c r="BB45" s="130"/>
      <c r="BC45" s="130"/>
      <c r="BD45" s="130"/>
      <c r="BE45" s="130"/>
      <c r="BF45" s="130">
        <v>2</v>
      </c>
      <c r="BG45" s="130"/>
      <c r="BH45" s="130">
        <v>2</v>
      </c>
      <c r="BI45" s="130"/>
      <c r="BJ45" s="185"/>
      <c r="BK45" s="185">
        <v>3</v>
      </c>
      <c r="BL45" s="185"/>
      <c r="BM45" s="185">
        <v>3</v>
      </c>
      <c r="BN45" s="185"/>
      <c r="BO45" s="185"/>
      <c r="BP45" s="185"/>
      <c r="BQ45" s="185"/>
      <c r="BR45" s="185"/>
      <c r="BS45" s="185">
        <v>1</v>
      </c>
      <c r="BT45" s="227"/>
      <c r="BU45" s="227"/>
      <c r="BV45" s="184"/>
      <c r="BW45" s="225"/>
      <c r="BX45" s="184">
        <v>-1</v>
      </c>
      <c r="BY45" s="185"/>
      <c r="BZ45" s="154"/>
      <c r="CA45" s="185">
        <v>0</v>
      </c>
      <c r="CB45" s="130">
        <v>11</v>
      </c>
      <c r="CC45" s="130">
        <v>1</v>
      </c>
      <c r="CD45" s="130">
        <v>301</v>
      </c>
      <c r="CE45" s="130">
        <v>1</v>
      </c>
      <c r="CF45" s="130">
        <v>287</v>
      </c>
      <c r="CG45" s="130">
        <v>12</v>
      </c>
      <c r="CH45" s="220">
        <f>+CF45+CG45</f>
        <v>299</v>
      </c>
    </row>
    <row r="46" spans="1:86" x14ac:dyDescent="0.25">
      <c r="A46" s="14">
        <v>63</v>
      </c>
      <c r="B46" s="2" t="s">
        <v>66</v>
      </c>
      <c r="C46" s="15"/>
      <c r="D46" s="183"/>
      <c r="E46" s="150">
        <v>102</v>
      </c>
      <c r="F46" s="150"/>
      <c r="G46" s="136"/>
      <c r="H46" s="136">
        <v>-1</v>
      </c>
      <c r="I46" s="136">
        <v>-1</v>
      </c>
      <c r="J46" s="136">
        <v>-2</v>
      </c>
      <c r="K46" s="136">
        <v>-3</v>
      </c>
      <c r="L46" s="136"/>
      <c r="M46" s="136"/>
      <c r="N46" s="136"/>
      <c r="O46" s="136"/>
      <c r="P46" s="136"/>
      <c r="Q46" s="183"/>
      <c r="R46" s="183">
        <v>-1</v>
      </c>
      <c r="S46" s="183">
        <v>-1</v>
      </c>
      <c r="T46" s="183">
        <v>-2</v>
      </c>
      <c r="U46" s="183">
        <v>-8</v>
      </c>
      <c r="V46" s="183"/>
      <c r="W46" s="183"/>
      <c r="X46" s="131">
        <v>105</v>
      </c>
      <c r="Y46" s="131">
        <v>4</v>
      </c>
      <c r="Z46" s="130">
        <v>1</v>
      </c>
      <c r="AA46" s="130">
        <v>21</v>
      </c>
      <c r="AB46" s="130">
        <v>5</v>
      </c>
      <c r="AC46" s="130">
        <v>29</v>
      </c>
      <c r="AD46" s="130">
        <v>11</v>
      </c>
      <c r="AE46" s="130">
        <v>6</v>
      </c>
      <c r="AF46" s="130">
        <v>8</v>
      </c>
      <c r="AG46" s="130">
        <v>6</v>
      </c>
      <c r="AH46" s="185">
        <v>12</v>
      </c>
      <c r="AI46" s="185">
        <v>4</v>
      </c>
      <c r="AJ46" s="185">
        <v>1</v>
      </c>
      <c r="AK46" s="185">
        <v>2</v>
      </c>
      <c r="AL46" s="185">
        <v>13</v>
      </c>
      <c r="AM46" s="185">
        <v>8</v>
      </c>
      <c r="AN46" s="184">
        <v>19</v>
      </c>
      <c r="AO46" s="185">
        <v>11</v>
      </c>
      <c r="AP46" s="185">
        <v>7</v>
      </c>
      <c r="AQ46" s="185">
        <v>2</v>
      </c>
      <c r="AR46" s="184">
        <v>3</v>
      </c>
      <c r="AS46" s="185">
        <v>9</v>
      </c>
      <c r="AT46" s="185">
        <v>6</v>
      </c>
      <c r="AU46" s="185">
        <v>2</v>
      </c>
      <c r="AV46" s="184">
        <v>4</v>
      </c>
      <c r="AW46" s="185">
        <v>1</v>
      </c>
      <c r="AX46" s="154">
        <v>-1</v>
      </c>
      <c r="AY46" s="185">
        <v>280</v>
      </c>
      <c r="AZ46" s="131">
        <v>3</v>
      </c>
      <c r="BA46" s="131">
        <v>2</v>
      </c>
      <c r="BB46" s="130">
        <v>1</v>
      </c>
      <c r="BC46" s="130"/>
      <c r="BD46" s="130">
        <v>4</v>
      </c>
      <c r="BE46" s="130"/>
      <c r="BF46" s="130"/>
      <c r="BG46" s="130"/>
      <c r="BH46" s="130"/>
      <c r="BI46" s="130"/>
      <c r="BJ46" s="185"/>
      <c r="BK46" s="185"/>
      <c r="BL46" s="185"/>
      <c r="BM46" s="185"/>
      <c r="BN46" s="185"/>
      <c r="BO46" s="185"/>
      <c r="BP46" s="185"/>
      <c r="BQ46" s="185"/>
      <c r="BR46" s="185">
        <v>1</v>
      </c>
      <c r="BS46" s="185">
        <v>1</v>
      </c>
      <c r="BT46" s="185"/>
      <c r="BU46" s="185"/>
      <c r="BV46" s="185"/>
      <c r="BW46" s="185"/>
      <c r="BX46" s="184"/>
      <c r="BY46" s="185"/>
      <c r="BZ46" s="154">
        <v>1</v>
      </c>
      <c r="CA46" s="185"/>
      <c r="CB46" s="130">
        <v>10</v>
      </c>
      <c r="CC46" s="130">
        <v>0</v>
      </c>
      <c r="CD46" s="130">
        <v>290</v>
      </c>
      <c r="CE46" s="130">
        <v>3</v>
      </c>
      <c r="CF46" s="130">
        <v>283</v>
      </c>
      <c r="CG46" s="130">
        <v>10</v>
      </c>
      <c r="CH46" s="220">
        <f>+CF46+CG46</f>
        <v>293</v>
      </c>
    </row>
    <row r="47" spans="1:86" x14ac:dyDescent="0.25">
      <c r="A47" s="14">
        <v>10</v>
      </c>
      <c r="B47" s="2" t="s">
        <v>14</v>
      </c>
      <c r="C47" s="15"/>
      <c r="D47" s="183"/>
      <c r="E47" s="150">
        <v>148</v>
      </c>
      <c r="F47" s="150"/>
      <c r="G47" s="136"/>
      <c r="H47" s="136">
        <v>-2</v>
      </c>
      <c r="I47" s="136">
        <v>-1</v>
      </c>
      <c r="J47" s="136"/>
      <c r="K47" s="136"/>
      <c r="L47" s="136">
        <v>-12</v>
      </c>
      <c r="M47" s="136">
        <v>-3</v>
      </c>
      <c r="N47" s="136"/>
      <c r="O47" s="136"/>
      <c r="P47" s="136"/>
      <c r="Q47" s="183"/>
      <c r="R47" s="183">
        <v>-1</v>
      </c>
      <c r="S47" s="183"/>
      <c r="T47" s="183">
        <v>-1</v>
      </c>
      <c r="U47" s="183">
        <v>-1</v>
      </c>
      <c r="V47" s="183">
        <v>-1</v>
      </c>
      <c r="W47" s="183"/>
      <c r="X47" s="131">
        <v>151</v>
      </c>
      <c r="Y47" s="131">
        <v>3</v>
      </c>
      <c r="Z47" s="130">
        <v>1</v>
      </c>
      <c r="AA47" s="130">
        <v>15</v>
      </c>
      <c r="AB47" s="130">
        <v>6</v>
      </c>
      <c r="AC47" s="130">
        <v>7</v>
      </c>
      <c r="AD47" s="130">
        <v>12</v>
      </c>
      <c r="AE47" s="130">
        <v>39</v>
      </c>
      <c r="AF47" s="130">
        <v>14</v>
      </c>
      <c r="AG47" s="130">
        <v>11</v>
      </c>
      <c r="AH47" s="185">
        <v>13</v>
      </c>
      <c r="AI47" s="185">
        <v>2</v>
      </c>
      <c r="AJ47" s="185">
        <v>2</v>
      </c>
      <c r="AK47" s="185">
        <v>6</v>
      </c>
      <c r="AL47" s="185">
        <v>1</v>
      </c>
      <c r="AM47" s="185">
        <v>5</v>
      </c>
      <c r="AN47" s="173">
        <v>1</v>
      </c>
      <c r="AO47" s="185">
        <v>3</v>
      </c>
      <c r="AP47" s="185">
        <v>1</v>
      </c>
      <c r="AQ47" s="185"/>
      <c r="AR47" s="173">
        <v>0</v>
      </c>
      <c r="AS47" s="169">
        <v>1</v>
      </c>
      <c r="AT47" s="169">
        <v>1</v>
      </c>
      <c r="AU47" s="130">
        <v>0</v>
      </c>
      <c r="AV47" s="184">
        <v>2</v>
      </c>
      <c r="AW47" s="173">
        <v>5</v>
      </c>
      <c r="AX47" s="154">
        <v>2</v>
      </c>
      <c r="AY47" s="185">
        <v>282</v>
      </c>
      <c r="AZ47" s="131">
        <v>2</v>
      </c>
      <c r="BA47" s="131"/>
      <c r="BB47" s="130"/>
      <c r="BC47" s="130"/>
      <c r="BD47" s="130"/>
      <c r="BE47" s="130"/>
      <c r="BF47" s="130"/>
      <c r="BG47" s="130"/>
      <c r="BH47" s="130"/>
      <c r="BI47" s="130">
        <v>1</v>
      </c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  <c r="BV47" s="185"/>
      <c r="BW47" s="185">
        <v>1</v>
      </c>
      <c r="BX47" s="184"/>
      <c r="BY47" s="185"/>
      <c r="BZ47" s="154"/>
      <c r="CA47" s="185">
        <v>0</v>
      </c>
      <c r="CB47" s="130">
        <v>2</v>
      </c>
      <c r="CC47" s="130">
        <v>0</v>
      </c>
      <c r="CD47" s="130">
        <v>284</v>
      </c>
      <c r="CE47" s="130">
        <v>2</v>
      </c>
      <c r="CF47" s="130">
        <v>284</v>
      </c>
      <c r="CG47" s="130">
        <v>2</v>
      </c>
      <c r="CH47" s="220">
        <f>+CF47+CG47</f>
        <v>286</v>
      </c>
    </row>
    <row r="48" spans="1:86" x14ac:dyDescent="0.25">
      <c r="A48" s="14">
        <v>75</v>
      </c>
      <c r="B48" s="2" t="s">
        <v>78</v>
      </c>
      <c r="C48" s="22"/>
      <c r="D48" s="183">
        <v>-6</v>
      </c>
      <c r="E48" s="150">
        <v>112</v>
      </c>
      <c r="F48" s="150"/>
      <c r="G48" s="136"/>
      <c r="H48" s="136">
        <v>-2</v>
      </c>
      <c r="I48" s="136"/>
      <c r="J48" s="136"/>
      <c r="K48" s="136">
        <v>-1</v>
      </c>
      <c r="L48" s="136"/>
      <c r="M48" s="136">
        <v>-1</v>
      </c>
      <c r="N48" s="136">
        <v>-3</v>
      </c>
      <c r="O48" s="136">
        <v>-1</v>
      </c>
      <c r="P48" s="136">
        <v>-6</v>
      </c>
      <c r="Q48" s="183"/>
      <c r="R48" s="183"/>
      <c r="S48" s="183">
        <v>-1</v>
      </c>
      <c r="T48" s="183"/>
      <c r="U48" s="183"/>
      <c r="V48" s="183">
        <v>-2</v>
      </c>
      <c r="W48" s="183"/>
      <c r="X48" s="131">
        <v>111</v>
      </c>
      <c r="Y48" s="131">
        <v>6</v>
      </c>
      <c r="Z48" s="130"/>
      <c r="AA48" s="130">
        <v>60</v>
      </c>
      <c r="AB48" s="130">
        <v>8</v>
      </c>
      <c r="AC48" s="130">
        <v>11</v>
      </c>
      <c r="AD48" s="130">
        <v>6</v>
      </c>
      <c r="AE48" s="130">
        <v>6</v>
      </c>
      <c r="AF48" s="130">
        <v>9</v>
      </c>
      <c r="AG48" s="130">
        <v>5</v>
      </c>
      <c r="AH48" s="185">
        <v>5</v>
      </c>
      <c r="AI48" s="185">
        <v>15</v>
      </c>
      <c r="AJ48" s="185">
        <v>1</v>
      </c>
      <c r="AK48" s="185">
        <v>4</v>
      </c>
      <c r="AL48" s="185">
        <v>2</v>
      </c>
      <c r="AM48" s="185">
        <v>1</v>
      </c>
      <c r="AN48" s="184">
        <v>1</v>
      </c>
      <c r="AO48" s="185"/>
      <c r="AP48" s="185">
        <v>19</v>
      </c>
      <c r="AQ48" s="185">
        <v>2</v>
      </c>
      <c r="AR48" s="173">
        <v>4</v>
      </c>
      <c r="AS48" s="184">
        <v>3</v>
      </c>
      <c r="AT48" s="185">
        <v>1</v>
      </c>
      <c r="AU48" s="185">
        <v>3</v>
      </c>
      <c r="AV48" s="184"/>
      <c r="AW48" s="185">
        <v>5</v>
      </c>
      <c r="AX48" s="154">
        <v>0</v>
      </c>
      <c r="AY48" s="185">
        <v>271</v>
      </c>
      <c r="AZ48" s="131">
        <v>8</v>
      </c>
      <c r="BA48" s="131">
        <v>6</v>
      </c>
      <c r="BB48" s="130">
        <v>1</v>
      </c>
      <c r="BC48" s="130"/>
      <c r="BD48" s="130">
        <v>-7</v>
      </c>
      <c r="BE48" s="130">
        <v>1</v>
      </c>
      <c r="BF48" s="130">
        <v>1</v>
      </c>
      <c r="BG48" s="130">
        <v>1</v>
      </c>
      <c r="BH48" s="130"/>
      <c r="BI48" s="130">
        <v>1</v>
      </c>
      <c r="BJ48" s="185">
        <v>1</v>
      </c>
      <c r="BK48" s="185">
        <v>2</v>
      </c>
      <c r="BL48" s="185"/>
      <c r="BM48" s="185">
        <v>1</v>
      </c>
      <c r="BN48" s="185"/>
      <c r="BO48" s="185"/>
      <c r="BP48" s="185"/>
      <c r="BQ48" s="185"/>
      <c r="BR48" s="185"/>
      <c r="BS48" s="185"/>
      <c r="BT48" s="185"/>
      <c r="BU48" s="185"/>
      <c r="BV48" s="185"/>
      <c r="BW48" s="185"/>
      <c r="BX48" s="184"/>
      <c r="BY48" s="185"/>
      <c r="BZ48" s="154"/>
      <c r="CA48" s="185"/>
      <c r="CB48" s="130">
        <v>8</v>
      </c>
      <c r="CC48" s="130">
        <v>0</v>
      </c>
      <c r="CD48" s="130">
        <v>279</v>
      </c>
      <c r="CE48" s="130">
        <v>8</v>
      </c>
      <c r="CF48" s="130">
        <v>273</v>
      </c>
      <c r="CG48" s="130">
        <v>8</v>
      </c>
      <c r="CH48" s="220">
        <f>+CF48+CG48</f>
        <v>281</v>
      </c>
    </row>
    <row r="49" spans="1:86" x14ac:dyDescent="0.25">
      <c r="A49" s="14">
        <v>32</v>
      </c>
      <c r="B49" s="2" t="s">
        <v>35</v>
      </c>
      <c r="C49" s="22"/>
      <c r="D49" s="183"/>
      <c r="E49" s="150">
        <v>35</v>
      </c>
      <c r="F49" s="150"/>
      <c r="G49" s="136"/>
      <c r="H49" s="136"/>
      <c r="I49" s="136"/>
      <c r="J49" s="136"/>
      <c r="K49" s="136">
        <v>-1</v>
      </c>
      <c r="L49" s="136">
        <v>-1</v>
      </c>
      <c r="M49" s="136">
        <v>-5</v>
      </c>
      <c r="N49" s="136">
        <v>-4</v>
      </c>
      <c r="O49" s="136"/>
      <c r="P49" s="136"/>
      <c r="Q49" s="183"/>
      <c r="R49" s="183"/>
      <c r="S49" s="183"/>
      <c r="T49" s="183"/>
      <c r="U49" s="183"/>
      <c r="V49" s="183"/>
      <c r="W49" s="183"/>
      <c r="X49" s="131">
        <v>36</v>
      </c>
      <c r="Y49" s="131"/>
      <c r="Z49" s="130"/>
      <c r="AA49" s="130">
        <v>4</v>
      </c>
      <c r="AB49" s="130">
        <v>103</v>
      </c>
      <c r="AC49" s="130"/>
      <c r="AD49" s="130">
        <v>8</v>
      </c>
      <c r="AE49" s="130">
        <v>6</v>
      </c>
      <c r="AF49" s="130">
        <v>14</v>
      </c>
      <c r="AG49" s="130">
        <v>38</v>
      </c>
      <c r="AH49" s="185">
        <v>12</v>
      </c>
      <c r="AI49" s="185">
        <v>2</v>
      </c>
      <c r="AJ49" s="185">
        <v>1</v>
      </c>
      <c r="AK49" s="185">
        <v>5</v>
      </c>
      <c r="AL49" s="185">
        <v>-1</v>
      </c>
      <c r="AM49" s="185">
        <v>2</v>
      </c>
      <c r="AN49" s="184"/>
      <c r="AO49" s="185"/>
      <c r="AP49" s="185">
        <v>3</v>
      </c>
      <c r="AQ49" s="185">
        <v>1</v>
      </c>
      <c r="AR49" s="173">
        <v>1</v>
      </c>
      <c r="AS49" s="173">
        <v>3</v>
      </c>
      <c r="AT49" s="185">
        <v>0</v>
      </c>
      <c r="AU49" s="185">
        <v>1</v>
      </c>
      <c r="AV49" s="184">
        <v>0</v>
      </c>
      <c r="AW49" s="173">
        <v>1</v>
      </c>
      <c r="AX49" s="154">
        <v>0</v>
      </c>
      <c r="AY49" s="185">
        <v>229</v>
      </c>
      <c r="AZ49" s="131">
        <v>2</v>
      </c>
      <c r="BA49" s="131"/>
      <c r="BB49" s="130"/>
      <c r="BC49" s="130"/>
      <c r="BD49" s="130"/>
      <c r="BE49" s="130">
        <v>19</v>
      </c>
      <c r="BF49" s="130"/>
      <c r="BG49" s="130"/>
      <c r="BH49" s="130">
        <v>3</v>
      </c>
      <c r="BI49" s="130">
        <v>9</v>
      </c>
      <c r="BJ49" s="185">
        <v>13</v>
      </c>
      <c r="BK49" s="185">
        <v>1</v>
      </c>
      <c r="BL49" s="185">
        <v>2</v>
      </c>
      <c r="BM49" s="185"/>
      <c r="BN49" s="185"/>
      <c r="BO49" s="185">
        <v>1</v>
      </c>
      <c r="BP49" s="185"/>
      <c r="BQ49" s="185"/>
      <c r="BR49" s="185"/>
      <c r="BS49" s="185"/>
      <c r="BT49" s="185"/>
      <c r="BU49" s="185"/>
      <c r="BV49" s="185">
        <v>1</v>
      </c>
      <c r="BW49" s="185"/>
      <c r="BX49" s="184"/>
      <c r="BY49" s="185"/>
      <c r="BZ49" s="154"/>
      <c r="CA49" s="185">
        <v>0</v>
      </c>
      <c r="CB49" s="130">
        <v>49</v>
      </c>
      <c r="CC49" s="130">
        <v>0</v>
      </c>
      <c r="CD49" s="130">
        <v>278</v>
      </c>
      <c r="CE49" s="130">
        <v>2</v>
      </c>
      <c r="CF49" s="130">
        <v>231</v>
      </c>
      <c r="CG49" s="130">
        <v>49</v>
      </c>
      <c r="CH49" s="220">
        <f>+CF49+CG49</f>
        <v>280</v>
      </c>
    </row>
    <row r="50" spans="1:86" x14ac:dyDescent="0.25">
      <c r="A50" s="14">
        <v>28</v>
      </c>
      <c r="B50" s="2" t="s">
        <v>31</v>
      </c>
      <c r="C50" s="15"/>
      <c r="D50" s="183">
        <v>-1</v>
      </c>
      <c r="E50" s="150">
        <v>128</v>
      </c>
      <c r="F50" s="150"/>
      <c r="G50" s="136"/>
      <c r="H50" s="136">
        <v>-1</v>
      </c>
      <c r="I50" s="136"/>
      <c r="J50" s="136">
        <v>-1</v>
      </c>
      <c r="K50" s="136">
        <v>-2</v>
      </c>
      <c r="L50" s="136">
        <v>-3</v>
      </c>
      <c r="M50" s="136">
        <v>-3</v>
      </c>
      <c r="N50" s="136">
        <v>-2</v>
      </c>
      <c r="O50" s="136">
        <v>-1</v>
      </c>
      <c r="P50" s="136"/>
      <c r="Q50" s="183"/>
      <c r="R50" s="183">
        <v>-2</v>
      </c>
      <c r="S50" s="183">
        <v>-2</v>
      </c>
      <c r="T50" s="183">
        <v>-2</v>
      </c>
      <c r="U50" s="183">
        <v>-1</v>
      </c>
      <c r="V50" s="183"/>
      <c r="W50" s="183">
        <v>-1</v>
      </c>
      <c r="X50" s="131">
        <v>117</v>
      </c>
      <c r="Y50" s="131">
        <v>5</v>
      </c>
      <c r="Z50" s="130">
        <v>8</v>
      </c>
      <c r="AA50" s="130">
        <v>13</v>
      </c>
      <c r="AB50" s="130">
        <v>13</v>
      </c>
      <c r="AC50" s="130">
        <v>11</v>
      </c>
      <c r="AD50" s="130">
        <v>8</v>
      </c>
      <c r="AE50" s="130">
        <v>24</v>
      </c>
      <c r="AF50" s="130">
        <v>16</v>
      </c>
      <c r="AG50" s="130">
        <v>9</v>
      </c>
      <c r="AH50" s="185">
        <v>10</v>
      </c>
      <c r="AI50" s="185">
        <v>18</v>
      </c>
      <c r="AJ50" s="185">
        <v>2</v>
      </c>
      <c r="AK50" s="185">
        <v>2</v>
      </c>
      <c r="AL50" s="185">
        <v>3</v>
      </c>
      <c r="AM50" s="185">
        <v>4</v>
      </c>
      <c r="AN50" s="173">
        <v>1</v>
      </c>
      <c r="AO50" s="185">
        <v>2</v>
      </c>
      <c r="AP50" s="185">
        <v>1</v>
      </c>
      <c r="AQ50" s="185">
        <v>1</v>
      </c>
      <c r="AR50" s="184">
        <v>1</v>
      </c>
      <c r="AS50" s="185">
        <v>2</v>
      </c>
      <c r="AT50" s="185">
        <v>1</v>
      </c>
      <c r="AU50" s="185">
        <v>6</v>
      </c>
      <c r="AV50" s="173">
        <v>3</v>
      </c>
      <c r="AW50" s="169">
        <v>0</v>
      </c>
      <c r="AX50" s="154">
        <v>1</v>
      </c>
      <c r="AY50" s="185">
        <v>261</v>
      </c>
      <c r="AZ50" s="131">
        <v>1</v>
      </c>
      <c r="BA50" s="131">
        <v>14</v>
      </c>
      <c r="BB50" s="130"/>
      <c r="BC50" s="130"/>
      <c r="BD50" s="130">
        <v>-1</v>
      </c>
      <c r="BE50" s="130"/>
      <c r="BF50" s="130">
        <v>1</v>
      </c>
      <c r="BG50" s="130">
        <v>1</v>
      </c>
      <c r="BH50" s="130">
        <v>2</v>
      </c>
      <c r="BI50" s="130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4"/>
      <c r="BY50" s="185"/>
      <c r="BZ50" s="154">
        <v>1</v>
      </c>
      <c r="CA50" s="185">
        <v>0</v>
      </c>
      <c r="CB50" s="130">
        <v>18</v>
      </c>
      <c r="CC50" s="130">
        <v>0</v>
      </c>
      <c r="CD50" s="130">
        <v>279</v>
      </c>
      <c r="CE50" s="130">
        <v>1</v>
      </c>
      <c r="CF50" s="130">
        <v>261</v>
      </c>
      <c r="CG50" s="130">
        <v>18</v>
      </c>
      <c r="CH50" s="220">
        <f>+CF50+CG50</f>
        <v>279</v>
      </c>
    </row>
    <row r="51" spans="1:86" x14ac:dyDescent="0.25">
      <c r="A51" s="14">
        <v>49</v>
      </c>
      <c r="B51" s="2" t="s">
        <v>52</v>
      </c>
      <c r="C51" s="22"/>
      <c r="D51" s="183">
        <v>-1</v>
      </c>
      <c r="E51" s="150">
        <v>66</v>
      </c>
      <c r="F51" s="150"/>
      <c r="G51" s="136">
        <v>-2</v>
      </c>
      <c r="H51" s="136"/>
      <c r="I51" s="136"/>
      <c r="J51" s="136">
        <v>-1</v>
      </c>
      <c r="K51" s="136"/>
      <c r="L51" s="136"/>
      <c r="M51" s="136">
        <v>-2</v>
      </c>
      <c r="N51" s="136"/>
      <c r="O51" s="136"/>
      <c r="P51" s="136"/>
      <c r="Q51" s="183"/>
      <c r="R51" s="183"/>
      <c r="S51" s="183"/>
      <c r="T51" s="183"/>
      <c r="U51" s="183"/>
      <c r="V51" s="183"/>
      <c r="W51" s="183"/>
      <c r="X51" s="131">
        <v>66</v>
      </c>
      <c r="Y51" s="131">
        <v>5</v>
      </c>
      <c r="Z51" s="130">
        <v>22</v>
      </c>
      <c r="AA51" s="130">
        <v>22</v>
      </c>
      <c r="AB51" s="130">
        <v>36</v>
      </c>
      <c r="AC51" s="130">
        <v>15</v>
      </c>
      <c r="AD51" s="130">
        <v>7</v>
      </c>
      <c r="AE51" s="130">
        <v>6</v>
      </c>
      <c r="AF51" s="130">
        <v>10</v>
      </c>
      <c r="AG51" s="130"/>
      <c r="AH51" s="185">
        <v>1</v>
      </c>
      <c r="AI51" s="185">
        <v>5</v>
      </c>
      <c r="AJ51" s="185">
        <v>1</v>
      </c>
      <c r="AK51" s="185"/>
      <c r="AL51" s="185">
        <v>1</v>
      </c>
      <c r="AM51" s="185">
        <v>4</v>
      </c>
      <c r="AN51" s="173">
        <v>8</v>
      </c>
      <c r="AO51" s="185">
        <v>4</v>
      </c>
      <c r="AP51" s="185">
        <v>1</v>
      </c>
      <c r="AQ51" s="185">
        <v>2</v>
      </c>
      <c r="AR51" s="184">
        <v>3</v>
      </c>
      <c r="AS51" s="184">
        <v>3</v>
      </c>
      <c r="AT51" s="185">
        <v>18</v>
      </c>
      <c r="AU51" s="185">
        <v>2</v>
      </c>
      <c r="AV51" s="184">
        <v>11</v>
      </c>
      <c r="AW51" s="169">
        <v>3</v>
      </c>
      <c r="AX51" s="154">
        <v>13</v>
      </c>
      <c r="AY51" s="185">
        <v>264</v>
      </c>
      <c r="AZ51" s="131">
        <v>7</v>
      </c>
      <c r="BA51" s="131"/>
      <c r="BB51" s="130"/>
      <c r="BC51" s="130">
        <v>2</v>
      </c>
      <c r="BD51" s="130"/>
      <c r="BE51" s="130"/>
      <c r="BF51" s="130">
        <v>1</v>
      </c>
      <c r="BG51" s="130">
        <v>1</v>
      </c>
      <c r="BH51" s="130"/>
      <c r="BI51" s="130">
        <v>1</v>
      </c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  <c r="BV51" s="185"/>
      <c r="BW51" s="185"/>
      <c r="BX51" s="184"/>
      <c r="BY51" s="185">
        <v>1</v>
      </c>
      <c r="BZ51" s="154">
        <v>1</v>
      </c>
      <c r="CA51" s="185">
        <v>0</v>
      </c>
      <c r="CB51" s="130">
        <v>7</v>
      </c>
      <c r="CC51" s="130">
        <v>1</v>
      </c>
      <c r="CD51" s="130">
        <v>271</v>
      </c>
      <c r="CE51" s="130">
        <v>8</v>
      </c>
      <c r="CF51" s="130">
        <v>270</v>
      </c>
      <c r="CG51" s="130">
        <v>8</v>
      </c>
      <c r="CH51" s="220">
        <f>+CF51+CG51</f>
        <v>278</v>
      </c>
    </row>
    <row r="52" spans="1:86" x14ac:dyDescent="0.25">
      <c r="A52" s="14">
        <v>74</v>
      </c>
      <c r="B52" s="2" t="s">
        <v>77</v>
      </c>
      <c r="C52" s="22"/>
      <c r="D52" s="183"/>
      <c r="E52" s="150">
        <v>87</v>
      </c>
      <c r="F52" s="150"/>
      <c r="G52" s="136">
        <v>-1</v>
      </c>
      <c r="H52" s="136">
        <v>-1</v>
      </c>
      <c r="I52" s="136">
        <v>-4</v>
      </c>
      <c r="J52" s="136"/>
      <c r="K52" s="136">
        <v>-2</v>
      </c>
      <c r="L52" s="136">
        <v>-10</v>
      </c>
      <c r="M52" s="136">
        <v>-1</v>
      </c>
      <c r="N52" s="136"/>
      <c r="O52" s="136">
        <v>-2</v>
      </c>
      <c r="P52" s="136">
        <v>-1</v>
      </c>
      <c r="Q52" s="183"/>
      <c r="R52" s="183">
        <v>-1</v>
      </c>
      <c r="S52" s="183">
        <v>-2</v>
      </c>
      <c r="T52" s="183">
        <v>-1</v>
      </c>
      <c r="U52" s="183">
        <v>-6</v>
      </c>
      <c r="V52" s="183"/>
      <c r="W52" s="183"/>
      <c r="X52" s="131">
        <v>104</v>
      </c>
      <c r="Y52" s="131">
        <v>1</v>
      </c>
      <c r="Z52" s="130">
        <v>5</v>
      </c>
      <c r="AA52" s="130">
        <v>11</v>
      </c>
      <c r="AB52" s="130">
        <v>7</v>
      </c>
      <c r="AC52" s="130">
        <v>2</v>
      </c>
      <c r="AD52" s="130">
        <v>25</v>
      </c>
      <c r="AE52" s="130">
        <v>23</v>
      </c>
      <c r="AF52" s="130">
        <v>6</v>
      </c>
      <c r="AG52" s="130">
        <v>2</v>
      </c>
      <c r="AH52" s="185">
        <v>15</v>
      </c>
      <c r="AI52" s="185">
        <v>14</v>
      </c>
      <c r="AJ52" s="185">
        <v>15</v>
      </c>
      <c r="AK52" s="185">
        <v>31</v>
      </c>
      <c r="AL52" s="185">
        <v>5</v>
      </c>
      <c r="AM52" s="185">
        <v>9</v>
      </c>
      <c r="AN52" s="184">
        <v>1</v>
      </c>
      <c r="AO52" s="185">
        <v>6</v>
      </c>
      <c r="AP52" s="185">
        <v>1</v>
      </c>
      <c r="AQ52" s="185">
        <v>1</v>
      </c>
      <c r="AR52" s="184">
        <v>3</v>
      </c>
      <c r="AS52" s="185">
        <v>1</v>
      </c>
      <c r="AT52" s="185"/>
      <c r="AU52" s="185">
        <v>1</v>
      </c>
      <c r="AV52" s="184">
        <v>5</v>
      </c>
      <c r="AW52" s="185">
        <v>4</v>
      </c>
      <c r="AX52" s="154">
        <v>0</v>
      </c>
      <c r="AY52" s="185">
        <v>266</v>
      </c>
      <c r="AZ52" s="131">
        <v>1</v>
      </c>
      <c r="BA52" s="131"/>
      <c r="BB52" s="130"/>
      <c r="BC52" s="130"/>
      <c r="BD52" s="130"/>
      <c r="BE52" s="130"/>
      <c r="BF52" s="130">
        <v>1</v>
      </c>
      <c r="BG52" s="130"/>
      <c r="BH52" s="130">
        <v>1</v>
      </c>
      <c r="BI52" s="130">
        <v>1</v>
      </c>
      <c r="BJ52" s="185"/>
      <c r="BK52" s="185"/>
      <c r="BL52" s="185"/>
      <c r="BM52" s="185"/>
      <c r="BN52" s="185"/>
      <c r="BO52" s="185">
        <v>1</v>
      </c>
      <c r="BP52" s="185"/>
      <c r="BQ52" s="185"/>
      <c r="BR52" s="185"/>
      <c r="BS52" s="185"/>
      <c r="BT52" s="185"/>
      <c r="BU52" s="185"/>
      <c r="BV52" s="185"/>
      <c r="BW52" s="185"/>
      <c r="BX52" s="184">
        <v>1</v>
      </c>
      <c r="BY52" s="185"/>
      <c r="BZ52" s="154"/>
      <c r="CA52" s="185"/>
      <c r="CB52" s="130">
        <v>5</v>
      </c>
      <c r="CC52" s="130">
        <v>0</v>
      </c>
      <c r="CD52" s="130">
        <v>271</v>
      </c>
      <c r="CE52" s="130">
        <v>1</v>
      </c>
      <c r="CF52" s="130">
        <v>267</v>
      </c>
      <c r="CG52" s="130">
        <v>5</v>
      </c>
      <c r="CH52" s="220">
        <f>+CF52+CG52</f>
        <v>272</v>
      </c>
    </row>
    <row r="53" spans="1:86" x14ac:dyDescent="0.25">
      <c r="A53" s="14">
        <v>72</v>
      </c>
      <c r="B53" s="2" t="s">
        <v>75</v>
      </c>
      <c r="C53" s="22"/>
      <c r="D53" s="183">
        <v>-1</v>
      </c>
      <c r="E53" s="150">
        <v>47</v>
      </c>
      <c r="F53" s="150">
        <v>-1</v>
      </c>
      <c r="G53" s="136"/>
      <c r="H53" s="136"/>
      <c r="I53" s="136">
        <v>-1</v>
      </c>
      <c r="J53" s="136">
        <v>-2</v>
      </c>
      <c r="K53" s="136"/>
      <c r="L53" s="136"/>
      <c r="M53" s="136"/>
      <c r="N53" s="136">
        <v>-1</v>
      </c>
      <c r="O53" s="136">
        <v>-1</v>
      </c>
      <c r="P53" s="136">
        <v>-3</v>
      </c>
      <c r="Q53" s="183">
        <v>-2</v>
      </c>
      <c r="R53" s="183"/>
      <c r="S53" s="183"/>
      <c r="T53" s="183"/>
      <c r="U53" s="183"/>
      <c r="V53" s="183">
        <v>-1</v>
      </c>
      <c r="W53" s="183"/>
      <c r="X53" s="131">
        <v>76</v>
      </c>
      <c r="Y53" s="131">
        <v>28</v>
      </c>
      <c r="Z53" s="130">
        <v>8</v>
      </c>
      <c r="AA53" s="130">
        <v>1</v>
      </c>
      <c r="AB53" s="130">
        <v>15</v>
      </c>
      <c r="AC53" s="130">
        <v>2</v>
      </c>
      <c r="AD53" s="130">
        <v>3</v>
      </c>
      <c r="AE53" s="130">
        <v>4</v>
      </c>
      <c r="AF53" s="130">
        <v>2</v>
      </c>
      <c r="AG53" s="130">
        <v>20</v>
      </c>
      <c r="AH53" s="185">
        <v>5</v>
      </c>
      <c r="AI53" s="185">
        <v>7</v>
      </c>
      <c r="AJ53" s="185">
        <v>16</v>
      </c>
      <c r="AK53" s="185">
        <v>9</v>
      </c>
      <c r="AL53" s="185">
        <v>15</v>
      </c>
      <c r="AM53" s="185">
        <v>1</v>
      </c>
      <c r="AN53" s="184">
        <v>-1</v>
      </c>
      <c r="AO53" s="185">
        <v>4</v>
      </c>
      <c r="AP53" s="185">
        <v>1</v>
      </c>
      <c r="AQ53" s="185">
        <v>11</v>
      </c>
      <c r="AR53" s="173">
        <v>3</v>
      </c>
      <c r="AS53" s="169">
        <v>10</v>
      </c>
      <c r="AT53" s="185">
        <v>6</v>
      </c>
      <c r="AU53" s="185">
        <v>8</v>
      </c>
      <c r="AV53" s="184">
        <v>1</v>
      </c>
      <c r="AW53" s="184">
        <v>0</v>
      </c>
      <c r="AX53" s="154">
        <v>1</v>
      </c>
      <c r="AY53" s="185">
        <v>244</v>
      </c>
      <c r="AZ53" s="131">
        <v>7</v>
      </c>
      <c r="BA53" s="131"/>
      <c r="BB53" s="130">
        <v>1</v>
      </c>
      <c r="BC53" s="130"/>
      <c r="BD53" s="130"/>
      <c r="BE53" s="130"/>
      <c r="BF53" s="130"/>
      <c r="BG53" s="130">
        <v>2</v>
      </c>
      <c r="BH53" s="130"/>
      <c r="BI53" s="130"/>
      <c r="BJ53" s="185"/>
      <c r="BK53" s="185"/>
      <c r="BL53" s="185"/>
      <c r="BM53" s="185">
        <v>4</v>
      </c>
      <c r="BN53" s="185"/>
      <c r="BO53" s="185">
        <v>5</v>
      </c>
      <c r="BP53" s="185">
        <v>2</v>
      </c>
      <c r="BQ53" s="185">
        <v>1</v>
      </c>
      <c r="BR53" s="185"/>
      <c r="BS53" s="185"/>
      <c r="BT53" s="185">
        <v>1</v>
      </c>
      <c r="BU53" s="185"/>
      <c r="BV53" s="185"/>
      <c r="BW53" s="185"/>
      <c r="BX53" s="184"/>
      <c r="BY53" s="185"/>
      <c r="BZ53" s="154"/>
      <c r="CA53" s="185"/>
      <c r="CB53" s="130">
        <v>16</v>
      </c>
      <c r="CC53" s="130">
        <v>1</v>
      </c>
      <c r="CD53" s="130">
        <v>260</v>
      </c>
      <c r="CE53" s="130">
        <v>8</v>
      </c>
      <c r="CF53" s="130">
        <v>250</v>
      </c>
      <c r="CG53" s="130">
        <v>17</v>
      </c>
      <c r="CH53" s="220">
        <f>+CF53+CG53</f>
        <v>267</v>
      </c>
    </row>
    <row r="54" spans="1:86" x14ac:dyDescent="0.25">
      <c r="A54" s="14">
        <v>15</v>
      </c>
      <c r="B54" s="2" t="s">
        <v>19</v>
      </c>
      <c r="C54" s="22"/>
      <c r="D54" s="183"/>
      <c r="E54" s="150">
        <v>145</v>
      </c>
      <c r="F54" s="150">
        <v>-2</v>
      </c>
      <c r="G54" s="136">
        <v>-3</v>
      </c>
      <c r="H54" s="136"/>
      <c r="I54" s="136">
        <v>-1</v>
      </c>
      <c r="J54" s="136">
        <v>-1</v>
      </c>
      <c r="K54" s="136"/>
      <c r="L54" s="136"/>
      <c r="M54" s="136">
        <v>-1</v>
      </c>
      <c r="N54" s="136"/>
      <c r="O54" s="136">
        <v>-1</v>
      </c>
      <c r="P54" s="136"/>
      <c r="Q54" s="183"/>
      <c r="R54" s="183"/>
      <c r="S54" s="183">
        <v>-2</v>
      </c>
      <c r="T54" s="183">
        <v>-1</v>
      </c>
      <c r="U54" s="183"/>
      <c r="V54" s="183">
        <v>-1</v>
      </c>
      <c r="W54" s="183"/>
      <c r="X54" s="131">
        <v>145</v>
      </c>
      <c r="Y54" s="131">
        <v>8</v>
      </c>
      <c r="Z54" s="130">
        <v>25</v>
      </c>
      <c r="AA54" s="130">
        <v>1</v>
      </c>
      <c r="AB54" s="130">
        <v>4</v>
      </c>
      <c r="AC54" s="130">
        <v>20</v>
      </c>
      <c r="AD54" s="130"/>
      <c r="AE54" s="130"/>
      <c r="AF54" s="130">
        <v>7</v>
      </c>
      <c r="AG54" s="130"/>
      <c r="AH54" s="185">
        <v>9</v>
      </c>
      <c r="AI54" s="185">
        <v>2</v>
      </c>
      <c r="AJ54" s="185">
        <v>1</v>
      </c>
      <c r="AK54" s="185">
        <v>3</v>
      </c>
      <c r="AL54" s="185">
        <v>4</v>
      </c>
      <c r="AM54" s="185">
        <v>20</v>
      </c>
      <c r="AN54" s="184">
        <v>9</v>
      </c>
      <c r="AO54" s="185"/>
      <c r="AP54" s="185">
        <v>5</v>
      </c>
      <c r="AQ54" s="185">
        <v>1</v>
      </c>
      <c r="AR54" s="173">
        <v>0</v>
      </c>
      <c r="AS54" s="184">
        <v>3</v>
      </c>
      <c r="AT54" s="169">
        <v>1</v>
      </c>
      <c r="AU54" s="185">
        <v>1</v>
      </c>
      <c r="AV54" s="184">
        <v>0</v>
      </c>
      <c r="AW54" s="185">
        <v>1</v>
      </c>
      <c r="AX54" s="154">
        <v>0</v>
      </c>
      <c r="AY54" s="185">
        <v>257</v>
      </c>
      <c r="AZ54" s="131">
        <v>1</v>
      </c>
      <c r="BA54" s="131"/>
      <c r="BB54" s="130"/>
      <c r="BC54" s="130"/>
      <c r="BD54" s="130"/>
      <c r="BE54" s="130"/>
      <c r="BF54" s="130"/>
      <c r="BG54" s="130"/>
      <c r="BH54" s="130"/>
      <c r="BI54" s="130"/>
      <c r="BJ54" s="185"/>
      <c r="BK54" s="185"/>
      <c r="BL54" s="185"/>
      <c r="BM54" s="185"/>
      <c r="BN54" s="185"/>
      <c r="BO54" s="185"/>
      <c r="BP54" s="185"/>
      <c r="BQ54" s="185">
        <v>1</v>
      </c>
      <c r="BR54" s="185"/>
      <c r="BS54" s="185"/>
      <c r="BT54" s="185"/>
      <c r="BU54" s="185"/>
      <c r="BV54" s="185"/>
      <c r="BW54" s="185"/>
      <c r="BX54" s="184"/>
      <c r="BY54" s="184"/>
      <c r="BZ54" s="154"/>
      <c r="CA54" s="185">
        <v>0</v>
      </c>
      <c r="CB54" s="130">
        <v>1</v>
      </c>
      <c r="CC54" s="130">
        <v>0</v>
      </c>
      <c r="CD54" s="130">
        <v>258</v>
      </c>
      <c r="CE54" s="130">
        <v>1</v>
      </c>
      <c r="CF54" s="130">
        <v>258</v>
      </c>
      <c r="CG54" s="130">
        <v>1</v>
      </c>
      <c r="CH54" s="220">
        <f>+CF54+CG54</f>
        <v>259</v>
      </c>
    </row>
    <row r="55" spans="1:86" x14ac:dyDescent="0.25">
      <c r="A55" s="14">
        <v>80</v>
      </c>
      <c r="B55" s="2" t="s">
        <v>83</v>
      </c>
      <c r="C55" s="15"/>
      <c r="D55" s="183"/>
      <c r="E55" s="16">
        <v>164</v>
      </c>
      <c r="F55" s="16"/>
      <c r="G55" s="17"/>
      <c r="H55" s="17"/>
      <c r="I55" s="17">
        <v>-2</v>
      </c>
      <c r="J55" s="17"/>
      <c r="K55" s="136">
        <v>-1</v>
      </c>
      <c r="L55" s="136"/>
      <c r="M55" s="136">
        <v>-1</v>
      </c>
      <c r="N55" s="136"/>
      <c r="O55" s="136"/>
      <c r="P55" s="136"/>
      <c r="Q55" s="183"/>
      <c r="R55" s="183">
        <v>-1</v>
      </c>
      <c r="S55" s="183">
        <v>-2</v>
      </c>
      <c r="T55" s="183"/>
      <c r="U55" s="183">
        <v>-1</v>
      </c>
      <c r="V55" s="183"/>
      <c r="W55" s="183"/>
      <c r="X55" s="18">
        <v>164</v>
      </c>
      <c r="Y55" s="18"/>
      <c r="Z55" s="19">
        <v>1</v>
      </c>
      <c r="AA55" s="19">
        <v>9</v>
      </c>
      <c r="AB55" s="19">
        <v>5</v>
      </c>
      <c r="AC55" s="19">
        <v>1</v>
      </c>
      <c r="AD55" s="130">
        <v>3</v>
      </c>
      <c r="AE55" s="130"/>
      <c r="AF55" s="130">
        <v>5</v>
      </c>
      <c r="AG55" s="130">
        <v>1</v>
      </c>
      <c r="AH55" s="185"/>
      <c r="AI55" s="185">
        <v>2</v>
      </c>
      <c r="AJ55" s="185">
        <v>2</v>
      </c>
      <c r="AK55" s="185">
        <v>1</v>
      </c>
      <c r="AL55" s="185">
        <v>7</v>
      </c>
      <c r="AM55" s="185">
        <v>5</v>
      </c>
      <c r="AN55" s="185">
        <v>2</v>
      </c>
      <c r="AO55" s="185">
        <v>2</v>
      </c>
      <c r="AP55" s="185">
        <v>1</v>
      </c>
      <c r="AQ55" s="185"/>
      <c r="AR55" s="185">
        <v>11</v>
      </c>
      <c r="AS55" s="185">
        <v>9</v>
      </c>
      <c r="AT55" s="185"/>
      <c r="AU55" s="169">
        <v>4</v>
      </c>
      <c r="AV55" s="185">
        <v>9</v>
      </c>
      <c r="AW55" s="185">
        <v>10</v>
      </c>
      <c r="AX55" s="132">
        <v>4</v>
      </c>
      <c r="AY55" s="185">
        <v>250</v>
      </c>
      <c r="AZ55" s="131">
        <v>3</v>
      </c>
      <c r="BA55" s="131">
        <v>1</v>
      </c>
      <c r="BB55" s="130"/>
      <c r="BC55" s="130"/>
      <c r="BD55" s="130"/>
      <c r="BE55" s="130"/>
      <c r="BF55" s="130"/>
      <c r="BG55" s="130"/>
      <c r="BH55" s="130"/>
      <c r="BI55" s="130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85"/>
      <c r="BV55" s="185"/>
      <c r="BW55" s="185"/>
      <c r="BX55" s="185"/>
      <c r="BY55" s="185"/>
      <c r="BZ55" s="132"/>
      <c r="CA55" s="185"/>
      <c r="CB55" s="130">
        <v>1</v>
      </c>
      <c r="CC55" s="130">
        <v>0</v>
      </c>
      <c r="CD55" s="130">
        <v>251</v>
      </c>
      <c r="CE55" s="130">
        <v>3</v>
      </c>
      <c r="CF55" s="130">
        <v>253</v>
      </c>
      <c r="CG55" s="130">
        <v>1</v>
      </c>
      <c r="CH55" s="220">
        <f>+CF55+CG55</f>
        <v>254</v>
      </c>
    </row>
    <row r="56" spans="1:86" x14ac:dyDescent="0.25">
      <c r="A56" s="14">
        <v>35</v>
      </c>
      <c r="B56" s="2" t="s">
        <v>38</v>
      </c>
      <c r="C56" s="15"/>
      <c r="D56" s="183"/>
      <c r="E56" s="16">
        <v>85</v>
      </c>
      <c r="F56" s="16">
        <v>-1</v>
      </c>
      <c r="G56" s="17">
        <v>-1</v>
      </c>
      <c r="H56" s="17">
        <v>-1</v>
      </c>
      <c r="I56" s="17">
        <v>-3</v>
      </c>
      <c r="J56" s="17"/>
      <c r="K56" s="136"/>
      <c r="L56" s="136">
        <v>-1</v>
      </c>
      <c r="M56" s="136">
        <v>-2</v>
      </c>
      <c r="N56" s="136"/>
      <c r="O56" s="136">
        <v>-6</v>
      </c>
      <c r="P56" s="136"/>
      <c r="Q56" s="183"/>
      <c r="R56" s="183"/>
      <c r="S56" s="183">
        <v>-1</v>
      </c>
      <c r="T56" s="183"/>
      <c r="U56" s="183"/>
      <c r="V56" s="183"/>
      <c r="W56" s="183"/>
      <c r="X56" s="18">
        <v>84</v>
      </c>
      <c r="Y56" s="18">
        <v>3</v>
      </c>
      <c r="Z56" s="19">
        <v>4</v>
      </c>
      <c r="AA56" s="19">
        <v>6</v>
      </c>
      <c r="AB56" s="19">
        <v>3</v>
      </c>
      <c r="AC56" s="19">
        <v>12</v>
      </c>
      <c r="AD56" s="130">
        <v>8</v>
      </c>
      <c r="AE56" s="130">
        <v>13</v>
      </c>
      <c r="AF56" s="130">
        <v>18</v>
      </c>
      <c r="AG56" s="130">
        <v>11</v>
      </c>
      <c r="AH56" s="185">
        <v>6</v>
      </c>
      <c r="AI56" s="185">
        <v>9</v>
      </c>
      <c r="AJ56" s="185">
        <v>14</v>
      </c>
      <c r="AK56" s="185">
        <v>2</v>
      </c>
      <c r="AL56" s="185">
        <v>5</v>
      </c>
      <c r="AM56" s="185">
        <v>5</v>
      </c>
      <c r="AN56" s="185"/>
      <c r="AO56" s="185"/>
      <c r="AP56" s="185">
        <v>2</v>
      </c>
      <c r="AQ56" s="185">
        <v>3</v>
      </c>
      <c r="AR56" s="169">
        <v>2</v>
      </c>
      <c r="AS56" s="185">
        <v>4</v>
      </c>
      <c r="AT56" s="185">
        <v>0</v>
      </c>
      <c r="AU56" s="169">
        <v>5</v>
      </c>
      <c r="AV56" s="185">
        <v>1</v>
      </c>
      <c r="AW56" s="185">
        <v>0</v>
      </c>
      <c r="AX56" s="132">
        <v>2</v>
      </c>
      <c r="AY56" s="185">
        <v>206</v>
      </c>
      <c r="AZ56" s="131">
        <v>0</v>
      </c>
      <c r="BA56" s="131">
        <v>1</v>
      </c>
      <c r="BB56" s="130"/>
      <c r="BC56" s="130"/>
      <c r="BD56" s="130">
        <v>-1</v>
      </c>
      <c r="BE56" s="130"/>
      <c r="BF56" s="130"/>
      <c r="BG56" s="130">
        <v>1</v>
      </c>
      <c r="BH56" s="130">
        <v>9</v>
      </c>
      <c r="BI56" s="130">
        <v>13</v>
      </c>
      <c r="BJ56" s="185"/>
      <c r="BK56" s="185">
        <v>6</v>
      </c>
      <c r="BL56" s="185">
        <v>1</v>
      </c>
      <c r="BM56" s="185">
        <v>9</v>
      </c>
      <c r="BN56" s="185"/>
      <c r="BO56" s="185">
        <v>-1</v>
      </c>
      <c r="BP56" s="185">
        <v>0</v>
      </c>
      <c r="BQ56" s="185"/>
      <c r="BR56" s="185"/>
      <c r="BS56" s="185">
        <v>1</v>
      </c>
      <c r="BT56" s="185">
        <v>1</v>
      </c>
      <c r="BU56" s="185"/>
      <c r="BV56" s="185"/>
      <c r="BW56" s="185"/>
      <c r="BX56" s="185">
        <v>-2</v>
      </c>
      <c r="BY56" s="185"/>
      <c r="BZ56" s="132">
        <v>2</v>
      </c>
      <c r="CA56" s="185">
        <v>0</v>
      </c>
      <c r="CB56" s="130">
        <v>40</v>
      </c>
      <c r="CC56" s="130">
        <v>3</v>
      </c>
      <c r="CD56" s="130">
        <v>246</v>
      </c>
      <c r="CE56" s="130">
        <v>3</v>
      </c>
      <c r="CF56" s="130">
        <v>206</v>
      </c>
      <c r="CG56" s="130">
        <v>43</v>
      </c>
      <c r="CH56" s="220">
        <f>+CF56+CG56</f>
        <v>249</v>
      </c>
    </row>
    <row r="57" spans="1:86" x14ac:dyDescent="0.25">
      <c r="A57" s="14">
        <v>52</v>
      </c>
      <c r="B57" s="2" t="s">
        <v>55</v>
      </c>
      <c r="C57" s="15"/>
      <c r="D57" s="183"/>
      <c r="E57" s="16">
        <v>68</v>
      </c>
      <c r="F57" s="16"/>
      <c r="G57" s="17"/>
      <c r="H57" s="17"/>
      <c r="I57" s="17">
        <v>-1</v>
      </c>
      <c r="J57" s="17"/>
      <c r="K57" s="136"/>
      <c r="L57" s="136">
        <v>-1</v>
      </c>
      <c r="M57" s="136"/>
      <c r="N57" s="136"/>
      <c r="O57" s="136"/>
      <c r="P57" s="136">
        <v>-2</v>
      </c>
      <c r="Q57" s="183"/>
      <c r="R57" s="183">
        <v>-2</v>
      </c>
      <c r="S57" s="183"/>
      <c r="T57" s="183"/>
      <c r="U57" s="183"/>
      <c r="V57" s="183"/>
      <c r="W57" s="183"/>
      <c r="X57" s="18">
        <v>64</v>
      </c>
      <c r="Y57" s="18"/>
      <c r="Z57" s="19"/>
      <c r="AA57" s="19"/>
      <c r="AB57" s="19">
        <v>22</v>
      </c>
      <c r="AC57" s="19">
        <v>1</v>
      </c>
      <c r="AD57" s="130">
        <v>5</v>
      </c>
      <c r="AE57" s="130">
        <v>1</v>
      </c>
      <c r="AF57" s="130"/>
      <c r="AG57" s="130">
        <v>11</v>
      </c>
      <c r="AH57" s="185">
        <v>1</v>
      </c>
      <c r="AI57" s="169">
        <v>29</v>
      </c>
      <c r="AJ57" s="185">
        <v>39</v>
      </c>
      <c r="AK57" s="185">
        <v>11</v>
      </c>
      <c r="AL57" s="169">
        <v>12</v>
      </c>
      <c r="AM57" s="169">
        <v>18</v>
      </c>
      <c r="AN57" s="130">
        <v>7</v>
      </c>
      <c r="AO57" s="185">
        <v>8</v>
      </c>
      <c r="AP57" s="185">
        <v>6</v>
      </c>
      <c r="AQ57" s="185">
        <v>1</v>
      </c>
      <c r="AR57" s="185"/>
      <c r="AS57" s="169">
        <v>1</v>
      </c>
      <c r="AT57" s="185"/>
      <c r="AU57" s="228"/>
      <c r="AV57" s="169"/>
      <c r="AW57" s="185"/>
      <c r="AX57" s="132">
        <v>0</v>
      </c>
      <c r="AY57" s="185">
        <v>231</v>
      </c>
      <c r="AZ57" s="131">
        <v>0</v>
      </c>
      <c r="BA57" s="131">
        <v>5</v>
      </c>
      <c r="BB57" s="130"/>
      <c r="BC57" s="130"/>
      <c r="BD57" s="130"/>
      <c r="BE57" s="130"/>
      <c r="BF57" s="130"/>
      <c r="BG57" s="130"/>
      <c r="BH57" s="130"/>
      <c r="BI57" s="130"/>
      <c r="BJ57" s="185"/>
      <c r="BK57" s="169">
        <v>2</v>
      </c>
      <c r="BL57" s="185">
        <v>3</v>
      </c>
      <c r="BM57" s="185">
        <v>1</v>
      </c>
      <c r="BN57" s="169"/>
      <c r="BO57" s="169"/>
      <c r="BP57" s="185"/>
      <c r="BQ57" s="185"/>
      <c r="BR57" s="185"/>
      <c r="BS57" s="185"/>
      <c r="BT57" s="185"/>
      <c r="BU57" s="185"/>
      <c r="BV57" s="185"/>
      <c r="BW57" s="225"/>
      <c r="BX57" s="185"/>
      <c r="BY57" s="185"/>
      <c r="BZ57" s="132"/>
      <c r="CA57" s="185"/>
      <c r="CB57" s="130">
        <v>11</v>
      </c>
      <c r="CC57" s="130">
        <v>0</v>
      </c>
      <c r="CD57" s="130">
        <v>242</v>
      </c>
      <c r="CE57" s="130">
        <v>0</v>
      </c>
      <c r="CF57" s="130">
        <v>231</v>
      </c>
      <c r="CG57" s="130">
        <v>11</v>
      </c>
      <c r="CH57" s="220">
        <f>+CF57+CG57</f>
        <v>242</v>
      </c>
    </row>
    <row r="58" spans="1:86" x14ac:dyDescent="0.25">
      <c r="A58" s="14">
        <v>91</v>
      </c>
      <c r="B58" s="2" t="s">
        <v>94</v>
      </c>
      <c r="C58" s="22"/>
      <c r="D58" s="183"/>
      <c r="E58" s="16">
        <v>55</v>
      </c>
      <c r="F58" s="16"/>
      <c r="G58" s="17">
        <v>-1</v>
      </c>
      <c r="H58" s="17">
        <v>-2</v>
      </c>
      <c r="I58" s="17"/>
      <c r="J58" s="17">
        <v>-2</v>
      </c>
      <c r="K58" s="136">
        <v>-1</v>
      </c>
      <c r="L58" s="136">
        <v>-1</v>
      </c>
      <c r="M58" s="136"/>
      <c r="N58" s="136"/>
      <c r="O58" s="136">
        <v>-1</v>
      </c>
      <c r="P58" s="136">
        <v>-2</v>
      </c>
      <c r="Q58" s="183"/>
      <c r="R58" s="183"/>
      <c r="S58" s="183"/>
      <c r="T58" s="183"/>
      <c r="U58" s="183"/>
      <c r="V58" s="183"/>
      <c r="W58" s="183"/>
      <c r="X58" s="18">
        <v>65</v>
      </c>
      <c r="Y58" s="18">
        <v>4</v>
      </c>
      <c r="Z58" s="19">
        <v>5</v>
      </c>
      <c r="AA58" s="19">
        <v>14</v>
      </c>
      <c r="AB58" s="19">
        <v>8</v>
      </c>
      <c r="AC58" s="19">
        <v>22</v>
      </c>
      <c r="AD58" s="130">
        <v>5</v>
      </c>
      <c r="AE58" s="130">
        <v>16</v>
      </c>
      <c r="AF58" s="130">
        <v>12</v>
      </c>
      <c r="AG58" s="130">
        <v>9</v>
      </c>
      <c r="AH58" s="185">
        <v>8</v>
      </c>
      <c r="AI58" s="185">
        <v>15</v>
      </c>
      <c r="AJ58" s="185">
        <v>8</v>
      </c>
      <c r="AK58" s="185">
        <v>5</v>
      </c>
      <c r="AL58" s="185">
        <v>4</v>
      </c>
      <c r="AM58" s="185">
        <v>2</v>
      </c>
      <c r="AN58" s="169">
        <v>1</v>
      </c>
      <c r="AO58" s="185">
        <v>1</v>
      </c>
      <c r="AP58" s="185">
        <v>1</v>
      </c>
      <c r="AQ58" s="185">
        <v>1</v>
      </c>
      <c r="AR58" s="185">
        <v>5</v>
      </c>
      <c r="AS58" s="185">
        <v>2</v>
      </c>
      <c r="AT58" s="185">
        <v>2</v>
      </c>
      <c r="AU58" s="169">
        <v>9</v>
      </c>
      <c r="AV58" s="185">
        <v>1</v>
      </c>
      <c r="AW58" s="185">
        <v>4</v>
      </c>
      <c r="AX58" s="132">
        <v>0</v>
      </c>
      <c r="AY58" s="185">
        <v>219</v>
      </c>
      <c r="AZ58" s="131">
        <v>0</v>
      </c>
      <c r="BA58" s="131">
        <v>2</v>
      </c>
      <c r="BB58" s="130">
        <v>2</v>
      </c>
      <c r="BC58" s="130">
        <v>1</v>
      </c>
      <c r="BD58" s="130">
        <v>-1</v>
      </c>
      <c r="BE58" s="130"/>
      <c r="BF58" s="130"/>
      <c r="BG58" s="130">
        <v>1</v>
      </c>
      <c r="BH58" s="130"/>
      <c r="BI58" s="130"/>
      <c r="BJ58" s="185">
        <v>1</v>
      </c>
      <c r="BK58" s="185"/>
      <c r="BL58" s="185">
        <v>3</v>
      </c>
      <c r="BM58" s="185">
        <v>2</v>
      </c>
      <c r="BN58" s="185">
        <v>1</v>
      </c>
      <c r="BO58" s="185"/>
      <c r="BP58" s="185">
        <v>1</v>
      </c>
      <c r="BQ58" s="185"/>
      <c r="BR58" s="185"/>
      <c r="BS58" s="185"/>
      <c r="BT58" s="185"/>
      <c r="BU58" s="185"/>
      <c r="BV58" s="185"/>
      <c r="BW58" s="185"/>
      <c r="BX58" s="185"/>
      <c r="BY58" s="185"/>
      <c r="BZ58" s="132"/>
      <c r="CA58" s="185"/>
      <c r="CB58" s="130">
        <v>13</v>
      </c>
      <c r="CC58" s="130">
        <v>0</v>
      </c>
      <c r="CD58" s="130">
        <v>232</v>
      </c>
      <c r="CE58" s="130">
        <v>0</v>
      </c>
      <c r="CF58" s="130">
        <v>219</v>
      </c>
      <c r="CG58" s="130">
        <v>13</v>
      </c>
      <c r="CH58" s="220">
        <f>+CF58+CG58</f>
        <v>232</v>
      </c>
    </row>
    <row r="59" spans="1:86" x14ac:dyDescent="0.25">
      <c r="A59" s="14">
        <v>46</v>
      </c>
      <c r="B59" s="2" t="s">
        <v>49</v>
      </c>
      <c r="C59" s="15"/>
      <c r="D59" s="183"/>
      <c r="E59" s="16">
        <v>30</v>
      </c>
      <c r="F59" s="16"/>
      <c r="G59" s="17"/>
      <c r="H59" s="17"/>
      <c r="I59" s="17">
        <v>-1</v>
      </c>
      <c r="J59" s="17"/>
      <c r="K59" s="136"/>
      <c r="L59" s="136">
        <v>-2</v>
      </c>
      <c r="M59" s="136"/>
      <c r="N59" s="136"/>
      <c r="O59" s="136"/>
      <c r="P59" s="136">
        <v>-1</v>
      </c>
      <c r="Q59" s="183">
        <v>-1</v>
      </c>
      <c r="R59" s="183"/>
      <c r="S59" s="183"/>
      <c r="T59" s="183">
        <v>-2</v>
      </c>
      <c r="U59" s="183">
        <v>-3</v>
      </c>
      <c r="V59" s="183">
        <v>-1</v>
      </c>
      <c r="W59" s="183">
        <v>-2</v>
      </c>
      <c r="X59" s="18">
        <v>33</v>
      </c>
      <c r="Y59" s="18">
        <v>1</v>
      </c>
      <c r="Z59" s="19">
        <v>74</v>
      </c>
      <c r="AA59" s="19">
        <v>17</v>
      </c>
      <c r="AB59" s="19">
        <v>3</v>
      </c>
      <c r="AC59" s="19">
        <v>7</v>
      </c>
      <c r="AD59" s="130">
        <v>6</v>
      </c>
      <c r="AE59" s="130">
        <v>16</v>
      </c>
      <c r="AF59" s="169">
        <v>6</v>
      </c>
      <c r="AG59" s="130">
        <v>3</v>
      </c>
      <c r="AH59" s="185">
        <v>8</v>
      </c>
      <c r="AI59" s="185">
        <v>2</v>
      </c>
      <c r="AJ59" s="185">
        <v>5</v>
      </c>
      <c r="AK59" s="185">
        <v>6</v>
      </c>
      <c r="AL59" s="169">
        <v>3</v>
      </c>
      <c r="AM59" s="185">
        <v>8</v>
      </c>
      <c r="AN59" s="185">
        <v>2</v>
      </c>
      <c r="AO59" s="185">
        <v>13</v>
      </c>
      <c r="AP59" s="185">
        <v>2</v>
      </c>
      <c r="AQ59" s="185">
        <v>1</v>
      </c>
      <c r="AR59" s="169">
        <v>6</v>
      </c>
      <c r="AS59" s="169">
        <v>0</v>
      </c>
      <c r="AT59" s="169">
        <v>5</v>
      </c>
      <c r="AU59" s="130">
        <v>3</v>
      </c>
      <c r="AV59" s="185">
        <v>1</v>
      </c>
      <c r="AW59" s="185">
        <v>0</v>
      </c>
      <c r="AX59" s="132">
        <v>2</v>
      </c>
      <c r="AY59" s="185">
        <v>220</v>
      </c>
      <c r="AZ59" s="131">
        <v>2</v>
      </c>
      <c r="BA59" s="131"/>
      <c r="BB59" s="130"/>
      <c r="BC59" s="130">
        <v>3</v>
      </c>
      <c r="BD59" s="130">
        <v>1</v>
      </c>
      <c r="BE59" s="130"/>
      <c r="BF59" s="130"/>
      <c r="BG59" s="130"/>
      <c r="BH59" s="169">
        <v>1</v>
      </c>
      <c r="BI59" s="130"/>
      <c r="BJ59" s="185"/>
      <c r="BK59" s="185"/>
      <c r="BL59" s="185"/>
      <c r="BM59" s="185"/>
      <c r="BN59" s="169"/>
      <c r="BO59" s="185"/>
      <c r="BP59" s="185"/>
      <c r="BQ59" s="185"/>
      <c r="BR59" s="185"/>
      <c r="BS59" s="185">
        <v>1</v>
      </c>
      <c r="BT59" s="185"/>
      <c r="BU59" s="185"/>
      <c r="BV59" s="185"/>
      <c r="BW59" s="185"/>
      <c r="BX59" s="185"/>
      <c r="BY59" s="185"/>
      <c r="BZ59" s="132">
        <v>1</v>
      </c>
      <c r="CA59" s="185">
        <v>0</v>
      </c>
      <c r="CB59" s="130">
        <v>7</v>
      </c>
      <c r="CC59" s="130">
        <v>1</v>
      </c>
      <c r="CD59" s="130">
        <v>227</v>
      </c>
      <c r="CE59" s="130">
        <v>3</v>
      </c>
      <c r="CF59" s="130">
        <v>222</v>
      </c>
      <c r="CG59" s="130">
        <v>8</v>
      </c>
      <c r="CH59" s="220">
        <f>+CF59+CG59</f>
        <v>230</v>
      </c>
    </row>
    <row r="60" spans="1:86" x14ac:dyDescent="0.25">
      <c r="A60" s="14">
        <v>76</v>
      </c>
      <c r="B60" s="2" t="s">
        <v>79</v>
      </c>
      <c r="C60" s="15"/>
      <c r="D60" s="183"/>
      <c r="E60" s="16">
        <v>72</v>
      </c>
      <c r="F60" s="16"/>
      <c r="G60" s="17"/>
      <c r="H60" s="17"/>
      <c r="I60" s="17"/>
      <c r="J60" s="17"/>
      <c r="K60" s="136"/>
      <c r="L60" s="136"/>
      <c r="M60" s="136"/>
      <c r="N60" s="136">
        <v>-2</v>
      </c>
      <c r="O60" s="136">
        <v>-2</v>
      </c>
      <c r="P60" s="136"/>
      <c r="Q60" s="183"/>
      <c r="R60" s="183"/>
      <c r="S60" s="183"/>
      <c r="T60" s="183">
        <v>-2</v>
      </c>
      <c r="U60" s="183"/>
      <c r="V60" s="183"/>
      <c r="W60" s="183"/>
      <c r="X60" s="18">
        <v>73</v>
      </c>
      <c r="Y60" s="18">
        <v>2</v>
      </c>
      <c r="Z60" s="19">
        <v>2</v>
      </c>
      <c r="AA60" s="19">
        <v>1</v>
      </c>
      <c r="AB60" s="19">
        <v>3</v>
      </c>
      <c r="AC60" s="19">
        <v>1</v>
      </c>
      <c r="AD60" s="130">
        <v>6</v>
      </c>
      <c r="AE60" s="130">
        <v>5</v>
      </c>
      <c r="AF60" s="130">
        <v>9</v>
      </c>
      <c r="AG60" s="130">
        <v>5</v>
      </c>
      <c r="AH60" s="185">
        <v>9</v>
      </c>
      <c r="AI60" s="185">
        <v>3</v>
      </c>
      <c r="AJ60" s="185">
        <v>7</v>
      </c>
      <c r="AK60" s="185">
        <v>3</v>
      </c>
      <c r="AL60" s="185">
        <v>1</v>
      </c>
      <c r="AM60" s="185">
        <v>28</v>
      </c>
      <c r="AN60" s="185">
        <v>6</v>
      </c>
      <c r="AO60" s="185"/>
      <c r="AP60" s="185">
        <v>2</v>
      </c>
      <c r="AQ60" s="185">
        <v>5</v>
      </c>
      <c r="AR60" s="169">
        <v>1</v>
      </c>
      <c r="AS60" s="169">
        <v>1</v>
      </c>
      <c r="AT60" s="185">
        <v>1</v>
      </c>
      <c r="AU60" s="169">
        <v>8</v>
      </c>
      <c r="AV60" s="169">
        <v>2</v>
      </c>
      <c r="AW60" s="185">
        <v>26</v>
      </c>
      <c r="AX60" s="132">
        <v>1</v>
      </c>
      <c r="AY60" s="185">
        <v>205</v>
      </c>
      <c r="AZ60" s="131">
        <v>1</v>
      </c>
      <c r="BA60" s="131"/>
      <c r="BB60" s="130"/>
      <c r="BC60" s="130">
        <v>2</v>
      </c>
      <c r="BD60" s="130"/>
      <c r="BE60" s="130"/>
      <c r="BF60" s="130">
        <v>1</v>
      </c>
      <c r="BG60" s="130"/>
      <c r="BH60" s="130"/>
      <c r="BI60" s="130"/>
      <c r="BJ60" s="185"/>
      <c r="BK60" s="185">
        <v>3</v>
      </c>
      <c r="BL60" s="185">
        <v>2</v>
      </c>
      <c r="BM60" s="185"/>
      <c r="BN60" s="185">
        <v>1</v>
      </c>
      <c r="BO60" s="185">
        <v>1</v>
      </c>
      <c r="BP60" s="185">
        <v>2</v>
      </c>
      <c r="BQ60" s="185"/>
      <c r="BR60" s="185"/>
      <c r="BS60" s="185"/>
      <c r="BT60" s="185"/>
      <c r="BU60" s="185"/>
      <c r="BV60" s="185"/>
      <c r="BW60" s="185"/>
      <c r="BX60" s="185"/>
      <c r="BY60" s="185"/>
      <c r="BZ60" s="132">
        <v>1</v>
      </c>
      <c r="CA60" s="185"/>
      <c r="CB60" s="130">
        <v>13</v>
      </c>
      <c r="CC60" s="130">
        <v>1</v>
      </c>
      <c r="CD60" s="130">
        <v>218</v>
      </c>
      <c r="CE60" s="130">
        <v>2</v>
      </c>
      <c r="CF60" s="130">
        <v>206</v>
      </c>
      <c r="CG60" s="130">
        <v>14</v>
      </c>
      <c r="CH60" s="220">
        <f>+CF60+CG60</f>
        <v>220</v>
      </c>
    </row>
    <row r="61" spans="1:86" x14ac:dyDescent="0.25">
      <c r="A61" s="14">
        <v>19</v>
      </c>
      <c r="B61" s="2" t="s">
        <v>23</v>
      </c>
      <c r="C61" s="22"/>
      <c r="D61" s="183"/>
      <c r="E61" s="16">
        <v>54</v>
      </c>
      <c r="F61" s="16"/>
      <c r="G61" s="17">
        <v>-3</v>
      </c>
      <c r="H61" s="17"/>
      <c r="I61" s="17"/>
      <c r="J61" s="17">
        <v>-1</v>
      </c>
      <c r="K61" s="136"/>
      <c r="L61" s="136">
        <v>-2</v>
      </c>
      <c r="M61" s="136"/>
      <c r="N61" s="136"/>
      <c r="O61" s="136">
        <v>-1</v>
      </c>
      <c r="P61" s="136"/>
      <c r="Q61" s="183">
        <v>-1</v>
      </c>
      <c r="R61" s="183">
        <v>-1</v>
      </c>
      <c r="S61" s="183"/>
      <c r="T61" s="183">
        <v>-3</v>
      </c>
      <c r="U61" s="183"/>
      <c r="V61" s="183"/>
      <c r="W61" s="183"/>
      <c r="X61" s="18">
        <v>55</v>
      </c>
      <c r="Y61" s="18">
        <v>3</v>
      </c>
      <c r="Z61" s="19">
        <v>12</v>
      </c>
      <c r="AA61" s="19">
        <v>26</v>
      </c>
      <c r="AB61" s="19">
        <v>18</v>
      </c>
      <c r="AC61" s="19">
        <v>16</v>
      </c>
      <c r="AD61" s="130">
        <v>3</v>
      </c>
      <c r="AE61" s="130">
        <v>11</v>
      </c>
      <c r="AF61" s="130">
        <v>8</v>
      </c>
      <c r="AG61" s="130">
        <v>5</v>
      </c>
      <c r="AH61" s="185">
        <v>4</v>
      </c>
      <c r="AI61" s="185">
        <v>4</v>
      </c>
      <c r="AJ61" s="185">
        <v>4</v>
      </c>
      <c r="AK61" s="185">
        <v>3</v>
      </c>
      <c r="AL61" s="185">
        <v>4</v>
      </c>
      <c r="AM61" s="185">
        <v>4</v>
      </c>
      <c r="AN61" s="169">
        <v>3</v>
      </c>
      <c r="AO61" s="185">
        <v>6</v>
      </c>
      <c r="AP61" s="185">
        <v>1</v>
      </c>
      <c r="AQ61" s="185">
        <v>1</v>
      </c>
      <c r="AR61" s="169">
        <v>4</v>
      </c>
      <c r="AS61" s="185">
        <v>1</v>
      </c>
      <c r="AT61" s="185">
        <v>1</v>
      </c>
      <c r="AU61" s="185">
        <v>2</v>
      </c>
      <c r="AV61" s="169">
        <v>1</v>
      </c>
      <c r="AW61" s="185">
        <v>6</v>
      </c>
      <c r="AX61" s="132">
        <v>0</v>
      </c>
      <c r="AY61" s="185">
        <v>194</v>
      </c>
      <c r="AZ61" s="131">
        <v>1</v>
      </c>
      <c r="BA61" s="131">
        <v>3</v>
      </c>
      <c r="BB61" s="130">
        <v>1</v>
      </c>
      <c r="BC61" s="130">
        <v>5</v>
      </c>
      <c r="BD61" s="130">
        <v>-2</v>
      </c>
      <c r="BE61" s="130">
        <v>2</v>
      </c>
      <c r="BF61" s="130">
        <v>3</v>
      </c>
      <c r="BG61" s="130">
        <v>3</v>
      </c>
      <c r="BH61" s="130">
        <v>5</v>
      </c>
      <c r="BI61" s="130">
        <v>1</v>
      </c>
      <c r="BJ61" s="185">
        <v>1</v>
      </c>
      <c r="BK61" s="185">
        <v>1</v>
      </c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1</v>
      </c>
      <c r="BY61" s="185"/>
      <c r="BZ61" s="132"/>
      <c r="CA61" s="185">
        <v>0</v>
      </c>
      <c r="CB61" s="130">
        <v>24</v>
      </c>
      <c r="CC61" s="130">
        <v>0</v>
      </c>
      <c r="CD61" s="130">
        <v>218</v>
      </c>
      <c r="CE61" s="130">
        <v>1</v>
      </c>
      <c r="CF61" s="130">
        <v>195</v>
      </c>
      <c r="CG61" s="130">
        <v>24</v>
      </c>
      <c r="CH61" s="220">
        <f>+CF61+CG61</f>
        <v>219</v>
      </c>
    </row>
    <row r="62" spans="1:86" x14ac:dyDescent="0.25">
      <c r="A62" s="14">
        <v>8</v>
      </c>
      <c r="B62" s="2" t="s">
        <v>12</v>
      </c>
      <c r="C62" s="15"/>
      <c r="D62" s="183"/>
      <c r="E62" s="16">
        <v>131</v>
      </c>
      <c r="F62" s="16"/>
      <c r="G62" s="17"/>
      <c r="H62" s="17">
        <v>-2</v>
      </c>
      <c r="I62" s="17"/>
      <c r="J62" s="17"/>
      <c r="K62" s="136"/>
      <c r="L62" s="136"/>
      <c r="M62" s="136"/>
      <c r="N62" s="136"/>
      <c r="O62" s="136"/>
      <c r="P62" s="136"/>
      <c r="Q62" s="183"/>
      <c r="R62" s="183"/>
      <c r="S62" s="183"/>
      <c r="T62" s="183"/>
      <c r="U62" s="183">
        <v>-2</v>
      </c>
      <c r="V62" s="183"/>
      <c r="W62" s="183"/>
      <c r="X62" s="18">
        <v>113</v>
      </c>
      <c r="Y62" s="18"/>
      <c r="Z62" s="19"/>
      <c r="AA62" s="19">
        <v>28</v>
      </c>
      <c r="AB62" s="19">
        <v>5</v>
      </c>
      <c r="AC62" s="19">
        <v>2</v>
      </c>
      <c r="AD62" s="130"/>
      <c r="AE62" s="130">
        <v>1</v>
      </c>
      <c r="AF62" s="130"/>
      <c r="AG62" s="130">
        <v>5</v>
      </c>
      <c r="AH62" s="185">
        <v>1</v>
      </c>
      <c r="AI62" s="169">
        <v>2</v>
      </c>
      <c r="AJ62" s="185">
        <v>11</v>
      </c>
      <c r="AK62" s="185"/>
      <c r="AL62" s="185"/>
      <c r="AM62" s="185"/>
      <c r="AN62" s="185">
        <v>21</v>
      </c>
      <c r="AO62" s="185">
        <v>4</v>
      </c>
      <c r="AP62" s="185">
        <v>2</v>
      </c>
      <c r="AQ62" s="185">
        <v>1</v>
      </c>
      <c r="AR62" s="185">
        <v>0</v>
      </c>
      <c r="AS62" s="169">
        <v>2</v>
      </c>
      <c r="AT62" s="185">
        <v>0</v>
      </c>
      <c r="AU62" s="185">
        <v>4</v>
      </c>
      <c r="AV62" s="185">
        <v>1</v>
      </c>
      <c r="AW62" s="185">
        <v>0</v>
      </c>
      <c r="AX62" s="132">
        <v>1</v>
      </c>
      <c r="AY62" s="185">
        <v>200</v>
      </c>
      <c r="AZ62" s="131">
        <v>1</v>
      </c>
      <c r="BA62" s="131">
        <v>23</v>
      </c>
      <c r="BB62" s="130">
        <v>1</v>
      </c>
      <c r="BC62" s="130"/>
      <c r="BD62" s="130">
        <v>-11</v>
      </c>
      <c r="BE62" s="130"/>
      <c r="BF62" s="130">
        <v>2</v>
      </c>
      <c r="BG62" s="130"/>
      <c r="BH62" s="130"/>
      <c r="BI62" s="130"/>
      <c r="BJ62" s="185"/>
      <c r="BK62" s="169"/>
      <c r="BL62" s="185"/>
      <c r="BM62" s="185"/>
      <c r="BN62" s="185"/>
      <c r="BO62" s="185"/>
      <c r="BP62" s="185"/>
      <c r="BQ62" s="185"/>
      <c r="BR62" s="185">
        <v>1</v>
      </c>
      <c r="BS62" s="185"/>
      <c r="BT62" s="185"/>
      <c r="BU62" s="185"/>
      <c r="BV62" s="185"/>
      <c r="BW62" s="185"/>
      <c r="BX62" s="185"/>
      <c r="BY62" s="185"/>
      <c r="BZ62" s="132"/>
      <c r="CA62" s="185">
        <v>0</v>
      </c>
      <c r="CB62" s="130">
        <v>16</v>
      </c>
      <c r="CC62" s="130">
        <v>0</v>
      </c>
      <c r="CD62" s="130">
        <v>216</v>
      </c>
      <c r="CE62" s="130">
        <v>1</v>
      </c>
      <c r="CF62" s="130">
        <v>201</v>
      </c>
      <c r="CG62" s="130">
        <v>16</v>
      </c>
      <c r="CH62" s="220">
        <f>+CF62+CG62</f>
        <v>217</v>
      </c>
    </row>
    <row r="63" spans="1:86" x14ac:dyDescent="0.25">
      <c r="A63" s="14">
        <v>9</v>
      </c>
      <c r="B63" s="2" t="s">
        <v>13</v>
      </c>
      <c r="C63" s="15"/>
      <c r="D63" s="183">
        <v>-1</v>
      </c>
      <c r="E63" s="16">
        <v>34</v>
      </c>
      <c r="F63" s="16"/>
      <c r="G63" s="17"/>
      <c r="H63" s="17"/>
      <c r="I63" s="17"/>
      <c r="J63" s="17">
        <v>-4</v>
      </c>
      <c r="K63" s="136">
        <v>-1</v>
      </c>
      <c r="L63" s="136"/>
      <c r="M63" s="136"/>
      <c r="N63" s="136"/>
      <c r="O63" s="136">
        <v>-1</v>
      </c>
      <c r="P63" s="136"/>
      <c r="Q63" s="183"/>
      <c r="R63" s="183"/>
      <c r="S63" s="183"/>
      <c r="T63" s="183"/>
      <c r="U63" s="183"/>
      <c r="V63" s="183"/>
      <c r="W63" s="183"/>
      <c r="X63" s="18">
        <v>39</v>
      </c>
      <c r="Y63" s="18">
        <v>5</v>
      </c>
      <c r="Z63" s="19">
        <v>4</v>
      </c>
      <c r="AA63" s="19">
        <v>1</v>
      </c>
      <c r="AB63" s="19">
        <v>1</v>
      </c>
      <c r="AC63" s="19">
        <v>50</v>
      </c>
      <c r="AD63" s="130">
        <v>52</v>
      </c>
      <c r="AE63" s="130">
        <v>8</v>
      </c>
      <c r="AF63" s="130">
        <v>6</v>
      </c>
      <c r="AG63" s="130">
        <v>1</v>
      </c>
      <c r="AH63" s="185">
        <v>5</v>
      </c>
      <c r="AI63" s="185">
        <v>2</v>
      </c>
      <c r="AJ63" s="185"/>
      <c r="AK63" s="185">
        <v>2</v>
      </c>
      <c r="AL63" s="169">
        <v>1</v>
      </c>
      <c r="AM63" s="185">
        <v>3</v>
      </c>
      <c r="AN63" s="185">
        <v>1</v>
      </c>
      <c r="AO63" s="169"/>
      <c r="AP63" s="185">
        <v>1</v>
      </c>
      <c r="AQ63" s="185">
        <v>1</v>
      </c>
      <c r="AR63" s="228">
        <v>1</v>
      </c>
      <c r="AS63" s="185">
        <v>3</v>
      </c>
      <c r="AT63" s="169">
        <v>4</v>
      </c>
      <c r="AU63" s="228">
        <v>3</v>
      </c>
      <c r="AV63" s="185">
        <v>1</v>
      </c>
      <c r="AW63" s="185">
        <v>1</v>
      </c>
      <c r="AX63" s="132">
        <v>19</v>
      </c>
      <c r="AY63" s="185">
        <v>209</v>
      </c>
      <c r="AZ63" s="131">
        <v>6</v>
      </c>
      <c r="BA63" s="131"/>
      <c r="BB63" s="130"/>
      <c r="BC63" s="130"/>
      <c r="BD63" s="130"/>
      <c r="BE63" s="130"/>
      <c r="BF63" s="130"/>
      <c r="BG63" s="130"/>
      <c r="BH63" s="130"/>
      <c r="BI63" s="130"/>
      <c r="BJ63" s="185">
        <v>1</v>
      </c>
      <c r="BK63" s="185"/>
      <c r="BL63" s="185"/>
      <c r="BM63" s="185"/>
      <c r="BN63" s="169"/>
      <c r="BO63" s="185"/>
      <c r="BP63" s="185"/>
      <c r="BQ63" s="169"/>
      <c r="BR63" s="185"/>
      <c r="BS63" s="185"/>
      <c r="BT63" s="227"/>
      <c r="BU63" s="185"/>
      <c r="BV63" s="185"/>
      <c r="BW63" s="228"/>
      <c r="BX63" s="185"/>
      <c r="BY63" s="185"/>
      <c r="BZ63" s="132"/>
      <c r="CA63" s="185">
        <v>0</v>
      </c>
      <c r="CB63" s="130">
        <v>1</v>
      </c>
      <c r="CC63" s="130">
        <v>0</v>
      </c>
      <c r="CD63" s="130">
        <v>210</v>
      </c>
      <c r="CE63" s="130">
        <v>6</v>
      </c>
      <c r="CF63" s="130">
        <v>214</v>
      </c>
      <c r="CG63" s="130">
        <v>1</v>
      </c>
      <c r="CH63" s="220">
        <f>+CF63+CG63</f>
        <v>215</v>
      </c>
    </row>
    <row r="64" spans="1:86" x14ac:dyDescent="0.25">
      <c r="A64" s="14">
        <v>71</v>
      </c>
      <c r="B64" s="2" t="s">
        <v>74</v>
      </c>
      <c r="C64" s="15"/>
      <c r="D64" s="183">
        <v>-5</v>
      </c>
      <c r="E64" s="16">
        <v>28</v>
      </c>
      <c r="F64" s="16"/>
      <c r="G64" s="17">
        <v>-2</v>
      </c>
      <c r="H64" s="17"/>
      <c r="I64" s="17">
        <v>-1</v>
      </c>
      <c r="J64" s="17">
        <v>-1</v>
      </c>
      <c r="K64" s="136">
        <v>-1</v>
      </c>
      <c r="L64" s="136">
        <v>-1</v>
      </c>
      <c r="M64" s="136"/>
      <c r="N64" s="136"/>
      <c r="O64" s="136"/>
      <c r="P64" s="136"/>
      <c r="Q64" s="183"/>
      <c r="R64" s="183">
        <v>-2</v>
      </c>
      <c r="S64" s="183">
        <v>-2</v>
      </c>
      <c r="T64" s="183"/>
      <c r="U64" s="183"/>
      <c r="V64" s="183"/>
      <c r="W64" s="183">
        <v>-1</v>
      </c>
      <c r="X64" s="18">
        <v>29</v>
      </c>
      <c r="Y64" s="18">
        <v>4</v>
      </c>
      <c r="Z64" s="19">
        <v>8</v>
      </c>
      <c r="AA64" s="19">
        <v>4</v>
      </c>
      <c r="AB64" s="19">
        <v>16</v>
      </c>
      <c r="AC64" s="19">
        <v>8</v>
      </c>
      <c r="AD64" s="130">
        <v>18</v>
      </c>
      <c r="AE64" s="130">
        <v>4</v>
      </c>
      <c r="AF64" s="130">
        <v>7</v>
      </c>
      <c r="AG64" s="130">
        <v>8</v>
      </c>
      <c r="AH64" s="185">
        <v>1</v>
      </c>
      <c r="AI64" s="185">
        <v>9</v>
      </c>
      <c r="AJ64" s="185">
        <v>5</v>
      </c>
      <c r="AK64" s="185">
        <v>26</v>
      </c>
      <c r="AL64" s="185">
        <v>9</v>
      </c>
      <c r="AM64" s="185">
        <v>4</v>
      </c>
      <c r="AN64" s="169">
        <v>7</v>
      </c>
      <c r="AO64" s="185"/>
      <c r="AP64" s="185">
        <v>3</v>
      </c>
      <c r="AQ64" s="185">
        <v>32</v>
      </c>
      <c r="AR64" s="169">
        <v>6</v>
      </c>
      <c r="AS64" s="169">
        <v>1</v>
      </c>
      <c r="AT64" s="185">
        <v>6</v>
      </c>
      <c r="AU64" s="185">
        <v>4</v>
      </c>
      <c r="AV64" s="169">
        <v>3</v>
      </c>
      <c r="AW64" s="169">
        <v>2</v>
      </c>
      <c r="AX64" s="132">
        <v>-1</v>
      </c>
      <c r="AY64" s="185">
        <v>212</v>
      </c>
      <c r="AZ64" s="131">
        <v>1</v>
      </c>
      <c r="BA64" s="131">
        <v>2</v>
      </c>
      <c r="BB64" s="130"/>
      <c r="BC64" s="130"/>
      <c r="BD64" s="130"/>
      <c r="BE64" s="130">
        <v>1</v>
      </c>
      <c r="BF64" s="130">
        <v>1</v>
      </c>
      <c r="BG64" s="130"/>
      <c r="BH64" s="130"/>
      <c r="BI64" s="130"/>
      <c r="BJ64" s="185"/>
      <c r="BK64" s="185"/>
      <c r="BL64" s="185"/>
      <c r="BM64" s="185"/>
      <c r="BN64" s="185">
        <v>1</v>
      </c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32"/>
      <c r="CA64" s="185"/>
      <c r="CB64" s="130">
        <v>5</v>
      </c>
      <c r="CC64" s="130">
        <v>0</v>
      </c>
      <c r="CD64" s="130">
        <v>217</v>
      </c>
      <c r="CE64" s="130">
        <v>1</v>
      </c>
      <c r="CF64" s="130">
        <v>208</v>
      </c>
      <c r="CG64" s="130">
        <v>5</v>
      </c>
      <c r="CH64" s="220">
        <f>+CF64+CG64</f>
        <v>213</v>
      </c>
    </row>
    <row r="65" spans="1:86" x14ac:dyDescent="0.25">
      <c r="A65" s="14">
        <v>41</v>
      </c>
      <c r="B65" s="2" t="s">
        <v>44</v>
      </c>
      <c r="C65" s="15"/>
      <c r="D65" s="183"/>
      <c r="E65" s="16">
        <v>67</v>
      </c>
      <c r="F65" s="16"/>
      <c r="G65" s="17"/>
      <c r="H65" s="17"/>
      <c r="I65" s="17"/>
      <c r="J65" s="17"/>
      <c r="K65" s="136"/>
      <c r="L65" s="136"/>
      <c r="M65" s="136"/>
      <c r="N65" s="136">
        <v>-2</v>
      </c>
      <c r="O65" s="136">
        <v>-1</v>
      </c>
      <c r="P65" s="136"/>
      <c r="Q65" s="183">
        <v>-4</v>
      </c>
      <c r="R65" s="183"/>
      <c r="S65" s="183"/>
      <c r="T65" s="183">
        <v>-1</v>
      </c>
      <c r="U65" s="183"/>
      <c r="V65" s="183"/>
      <c r="W65" s="183"/>
      <c r="X65" s="18">
        <v>65</v>
      </c>
      <c r="Y65" s="18">
        <v>17</v>
      </c>
      <c r="Z65" s="19">
        <v>20</v>
      </c>
      <c r="AA65" s="19">
        <v>7</v>
      </c>
      <c r="AB65" s="19">
        <v>6</v>
      </c>
      <c r="AC65" s="19">
        <v>6</v>
      </c>
      <c r="AD65" s="130">
        <v>6</v>
      </c>
      <c r="AE65" s="130">
        <v>2</v>
      </c>
      <c r="AF65" s="130">
        <v>2</v>
      </c>
      <c r="AG65" s="130">
        <v>3</v>
      </c>
      <c r="AH65" s="185">
        <v>13</v>
      </c>
      <c r="AI65" s="185">
        <v>8</v>
      </c>
      <c r="AJ65" s="185">
        <v>8</v>
      </c>
      <c r="AK65" s="185"/>
      <c r="AL65" s="169">
        <v>8</v>
      </c>
      <c r="AM65" s="185">
        <v>1</v>
      </c>
      <c r="AN65" s="169">
        <v>6</v>
      </c>
      <c r="AO65" s="185">
        <v>1</v>
      </c>
      <c r="AP65" s="185">
        <v>2</v>
      </c>
      <c r="AQ65" s="185">
        <v>3</v>
      </c>
      <c r="AR65" s="185">
        <v>2</v>
      </c>
      <c r="AS65" s="169">
        <v>2</v>
      </c>
      <c r="AT65" s="169">
        <v>1</v>
      </c>
      <c r="AU65" s="130">
        <v>2</v>
      </c>
      <c r="AV65" s="185">
        <v>0</v>
      </c>
      <c r="AW65" s="185">
        <v>2</v>
      </c>
      <c r="AX65" s="132">
        <v>9</v>
      </c>
      <c r="AY65" s="185">
        <v>194</v>
      </c>
      <c r="AZ65" s="131">
        <v>2</v>
      </c>
      <c r="BA65" s="131">
        <v>5</v>
      </c>
      <c r="BB65" s="130"/>
      <c r="BC65" s="130"/>
      <c r="BD65" s="130">
        <v>-1</v>
      </c>
      <c r="BE65" s="130"/>
      <c r="BF65" s="130"/>
      <c r="BG65" s="130">
        <v>1</v>
      </c>
      <c r="BH65" s="130">
        <v>1</v>
      </c>
      <c r="BI65" s="130"/>
      <c r="BJ65" s="185"/>
      <c r="BK65" s="185">
        <v>1</v>
      </c>
      <c r="BL65" s="185"/>
      <c r="BM65" s="185">
        <v>1</v>
      </c>
      <c r="BN65" s="169"/>
      <c r="BO65" s="185">
        <v>1</v>
      </c>
      <c r="BP65" s="185"/>
      <c r="BQ65" s="185"/>
      <c r="BR65" s="185"/>
      <c r="BS65" s="185"/>
      <c r="BT65" s="185"/>
      <c r="BU65" s="185"/>
      <c r="BV65" s="185"/>
      <c r="BW65" s="185">
        <v>-1</v>
      </c>
      <c r="BX65" s="185"/>
      <c r="BY65" s="185"/>
      <c r="BZ65" s="132"/>
      <c r="CA65" s="185">
        <v>0</v>
      </c>
      <c r="CB65" s="130">
        <v>8</v>
      </c>
      <c r="CC65" s="130">
        <v>0</v>
      </c>
      <c r="CD65" s="130">
        <v>202</v>
      </c>
      <c r="CE65" s="130">
        <v>2</v>
      </c>
      <c r="CF65" s="130">
        <v>196</v>
      </c>
      <c r="CG65" s="130">
        <v>8</v>
      </c>
      <c r="CH65" s="220">
        <f>+CF65+CG65</f>
        <v>204</v>
      </c>
    </row>
    <row r="66" spans="1:86" x14ac:dyDescent="0.25">
      <c r="A66" s="14">
        <v>64</v>
      </c>
      <c r="B66" s="2" t="s">
        <v>67</v>
      </c>
      <c r="C66" s="15"/>
      <c r="D66" s="183"/>
      <c r="E66" s="16">
        <v>95</v>
      </c>
      <c r="F66" s="16"/>
      <c r="G66" s="17"/>
      <c r="H66" s="17">
        <v>-1</v>
      </c>
      <c r="I66" s="17"/>
      <c r="J66" s="17"/>
      <c r="K66" s="136">
        <v>-2</v>
      </c>
      <c r="L66" s="136"/>
      <c r="M66" s="136"/>
      <c r="N66" s="136"/>
      <c r="O66" s="136"/>
      <c r="P66" s="136">
        <v>-4</v>
      </c>
      <c r="Q66" s="183"/>
      <c r="R66" s="183"/>
      <c r="S66" s="183"/>
      <c r="T66" s="183"/>
      <c r="U66" s="183"/>
      <c r="V66" s="183"/>
      <c r="W66" s="183">
        <v>-2</v>
      </c>
      <c r="X66" s="18">
        <v>99</v>
      </c>
      <c r="Y66" s="18"/>
      <c r="Z66" s="19">
        <v>9</v>
      </c>
      <c r="AA66" s="19">
        <v>7</v>
      </c>
      <c r="AB66" s="19">
        <v>5</v>
      </c>
      <c r="AC66" s="19"/>
      <c r="AD66" s="130">
        <v>1</v>
      </c>
      <c r="AE66" s="130">
        <v>3</v>
      </c>
      <c r="AF66" s="130">
        <v>5</v>
      </c>
      <c r="AG66" s="130">
        <v>2</v>
      </c>
      <c r="AH66" s="185">
        <v>8</v>
      </c>
      <c r="AI66" s="185">
        <v>20</v>
      </c>
      <c r="AJ66" s="185">
        <v>3</v>
      </c>
      <c r="AK66" s="185">
        <v>11</v>
      </c>
      <c r="AL66" s="185"/>
      <c r="AM66" s="185">
        <v>2</v>
      </c>
      <c r="AN66" s="185">
        <v>7</v>
      </c>
      <c r="AO66" s="185">
        <v>2</v>
      </c>
      <c r="AP66" s="185"/>
      <c r="AQ66" s="185">
        <v>2</v>
      </c>
      <c r="AR66" s="185">
        <v>5</v>
      </c>
      <c r="AS66" s="185">
        <v>3</v>
      </c>
      <c r="AT66" s="185">
        <v>1</v>
      </c>
      <c r="AU66" s="185">
        <v>1</v>
      </c>
      <c r="AV66" s="185">
        <v>6</v>
      </c>
      <c r="AW66" s="169">
        <v>1</v>
      </c>
      <c r="AX66" s="132">
        <v>1</v>
      </c>
      <c r="AY66" s="185">
        <v>195</v>
      </c>
      <c r="AZ66" s="131">
        <v>1</v>
      </c>
      <c r="BA66" s="131">
        <v>2</v>
      </c>
      <c r="BB66" s="130"/>
      <c r="BC66" s="130"/>
      <c r="BD66" s="130"/>
      <c r="BE66" s="130">
        <v>1</v>
      </c>
      <c r="BF66" s="130"/>
      <c r="BG66" s="130">
        <v>1</v>
      </c>
      <c r="BH66" s="130"/>
      <c r="BI66" s="130"/>
      <c r="BJ66" s="185"/>
      <c r="BK66" s="185"/>
      <c r="BL66" s="185"/>
      <c r="BM66" s="185">
        <v>1</v>
      </c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32"/>
      <c r="CA66" s="185"/>
      <c r="CB66" s="130">
        <v>5</v>
      </c>
      <c r="CC66" s="130">
        <v>0</v>
      </c>
      <c r="CD66" s="130">
        <v>200</v>
      </c>
      <c r="CE66" s="130">
        <v>1</v>
      </c>
      <c r="CF66" s="130">
        <v>196</v>
      </c>
      <c r="CG66" s="130">
        <v>5</v>
      </c>
      <c r="CH66" s="220">
        <f>+CF66+CG66</f>
        <v>201</v>
      </c>
    </row>
    <row r="67" spans="1:86" x14ac:dyDescent="0.25">
      <c r="A67" s="14">
        <v>44</v>
      </c>
      <c r="B67" s="2" t="s">
        <v>47</v>
      </c>
      <c r="C67" s="15"/>
      <c r="D67" s="183"/>
      <c r="E67" s="16">
        <v>17</v>
      </c>
      <c r="F67" s="16"/>
      <c r="G67" s="17"/>
      <c r="H67" s="17"/>
      <c r="I67" s="17"/>
      <c r="J67" s="17"/>
      <c r="K67" s="136"/>
      <c r="L67" s="136">
        <v>-1</v>
      </c>
      <c r="M67" s="136"/>
      <c r="N67" s="136">
        <v>-1</v>
      </c>
      <c r="O67" s="136">
        <v>-1</v>
      </c>
      <c r="P67" s="136">
        <v>-1</v>
      </c>
      <c r="Q67" s="183"/>
      <c r="R67" s="183"/>
      <c r="S67" s="183"/>
      <c r="T67" s="183"/>
      <c r="U67" s="183"/>
      <c r="V67" s="183"/>
      <c r="W67" s="183"/>
      <c r="X67" s="18">
        <v>17</v>
      </c>
      <c r="Y67" s="18">
        <v>2</v>
      </c>
      <c r="Z67" s="19">
        <v>8</v>
      </c>
      <c r="AA67" s="19"/>
      <c r="AB67" s="19"/>
      <c r="AC67" s="19">
        <v>4</v>
      </c>
      <c r="AD67" s="130">
        <v>5</v>
      </c>
      <c r="AE67" s="130">
        <v>17</v>
      </c>
      <c r="AF67" s="130">
        <v>9</v>
      </c>
      <c r="AG67" s="130">
        <v>15</v>
      </c>
      <c r="AH67" s="185">
        <v>13</v>
      </c>
      <c r="AI67" s="185">
        <v>19</v>
      </c>
      <c r="AJ67" s="185">
        <v>16</v>
      </c>
      <c r="AK67" s="185">
        <v>7</v>
      </c>
      <c r="AL67" s="185">
        <v>2</v>
      </c>
      <c r="AM67" s="185"/>
      <c r="AN67" s="185">
        <v>2</v>
      </c>
      <c r="AO67" s="185">
        <v>5</v>
      </c>
      <c r="AP67" s="185">
        <v>1</v>
      </c>
      <c r="AQ67" s="185">
        <v>8</v>
      </c>
      <c r="AR67" s="169">
        <v>9</v>
      </c>
      <c r="AS67" s="169">
        <v>1</v>
      </c>
      <c r="AT67" s="185">
        <v>3</v>
      </c>
      <c r="AU67" s="185">
        <v>2</v>
      </c>
      <c r="AV67" s="185">
        <v>1</v>
      </c>
      <c r="AW67" s="228">
        <v>3</v>
      </c>
      <c r="AX67" s="132">
        <v>10</v>
      </c>
      <c r="AY67" s="185">
        <v>175</v>
      </c>
      <c r="AZ67" s="131">
        <v>1</v>
      </c>
      <c r="BA67" s="131"/>
      <c r="BB67" s="130"/>
      <c r="BC67" s="130"/>
      <c r="BD67" s="130"/>
      <c r="BE67" s="130"/>
      <c r="BF67" s="130"/>
      <c r="BG67" s="130"/>
      <c r="BH67" s="130"/>
      <c r="BI67" s="130">
        <v>3</v>
      </c>
      <c r="BJ67" s="185">
        <v>5</v>
      </c>
      <c r="BK67" s="185"/>
      <c r="BL67" s="185"/>
      <c r="BM67" s="185">
        <v>6</v>
      </c>
      <c r="BN67" s="185"/>
      <c r="BO67" s="185">
        <v>1</v>
      </c>
      <c r="BP67" s="185"/>
      <c r="BQ67" s="185">
        <v>1</v>
      </c>
      <c r="BR67" s="185"/>
      <c r="BS67" s="185"/>
      <c r="BT67" s="185"/>
      <c r="BU67" s="185"/>
      <c r="BV67" s="185"/>
      <c r="BW67" s="185">
        <v>3</v>
      </c>
      <c r="BX67" s="185">
        <v>1</v>
      </c>
      <c r="BY67" s="228"/>
      <c r="BZ67" s="132">
        <v>2</v>
      </c>
      <c r="CA67" s="185">
        <v>1</v>
      </c>
      <c r="CB67" s="130">
        <v>23</v>
      </c>
      <c r="CC67" s="130">
        <v>0</v>
      </c>
      <c r="CD67" s="130">
        <v>198</v>
      </c>
      <c r="CE67" s="130">
        <v>1</v>
      </c>
      <c r="CF67" s="130">
        <v>176</v>
      </c>
      <c r="CG67" s="130">
        <v>23</v>
      </c>
      <c r="CH67" s="220">
        <f>+CF67+CG67</f>
        <v>199</v>
      </c>
    </row>
    <row r="68" spans="1:86" x14ac:dyDescent="0.25">
      <c r="A68" s="14">
        <v>31</v>
      </c>
      <c r="B68" s="2" t="s">
        <v>34</v>
      </c>
      <c r="C68" s="22"/>
      <c r="D68" s="183">
        <v>-1</v>
      </c>
      <c r="E68" s="16">
        <v>55</v>
      </c>
      <c r="F68" s="16"/>
      <c r="G68" s="17"/>
      <c r="H68" s="17"/>
      <c r="I68" s="17"/>
      <c r="J68" s="17"/>
      <c r="K68" s="136"/>
      <c r="L68" s="136"/>
      <c r="M68" s="136"/>
      <c r="N68" s="136"/>
      <c r="O68" s="136"/>
      <c r="P68" s="136"/>
      <c r="Q68" s="183"/>
      <c r="R68" s="183">
        <v>-1</v>
      </c>
      <c r="S68" s="183"/>
      <c r="T68" s="183"/>
      <c r="U68" s="183"/>
      <c r="V68" s="183"/>
      <c r="W68" s="183"/>
      <c r="X68" s="18">
        <v>55</v>
      </c>
      <c r="Y68" s="18">
        <v>8</v>
      </c>
      <c r="Z68" s="19">
        <v>3</v>
      </c>
      <c r="AA68" s="19">
        <v>6</v>
      </c>
      <c r="AB68" s="19">
        <v>11</v>
      </c>
      <c r="AC68" s="19">
        <v>14</v>
      </c>
      <c r="AD68" s="130">
        <v>27</v>
      </c>
      <c r="AE68" s="130">
        <v>28</v>
      </c>
      <c r="AF68" s="130">
        <v>4</v>
      </c>
      <c r="AG68" s="130">
        <v>2</v>
      </c>
      <c r="AH68" s="185">
        <v>1</v>
      </c>
      <c r="AI68" s="185">
        <v>1</v>
      </c>
      <c r="AJ68" s="185"/>
      <c r="AK68" s="185">
        <v>1</v>
      </c>
      <c r="AL68" s="185"/>
      <c r="AM68" s="185"/>
      <c r="AN68" s="169">
        <v>2</v>
      </c>
      <c r="AO68" s="185">
        <v>1</v>
      </c>
      <c r="AP68" s="185">
        <v>1</v>
      </c>
      <c r="AQ68" s="185">
        <v>6</v>
      </c>
      <c r="AR68" s="185">
        <v>1</v>
      </c>
      <c r="AS68" s="169">
        <v>3</v>
      </c>
      <c r="AT68" s="185">
        <v>0</v>
      </c>
      <c r="AU68" s="169">
        <v>2</v>
      </c>
      <c r="AV68" s="169">
        <v>3</v>
      </c>
      <c r="AW68" s="169">
        <v>0</v>
      </c>
      <c r="AX68" s="132">
        <v>1</v>
      </c>
      <c r="AY68" s="185">
        <v>180</v>
      </c>
      <c r="AZ68" s="131">
        <v>6</v>
      </c>
      <c r="BA68" s="131">
        <v>3</v>
      </c>
      <c r="BB68" s="130"/>
      <c r="BC68" s="130"/>
      <c r="BD68" s="130">
        <v>-2</v>
      </c>
      <c r="BE68" s="130"/>
      <c r="BF68" s="130"/>
      <c r="BG68" s="130"/>
      <c r="BH68" s="130"/>
      <c r="BI68" s="130"/>
      <c r="BJ68" s="185"/>
      <c r="BK68" s="185">
        <v>1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>
        <v>1</v>
      </c>
      <c r="BY68" s="185"/>
      <c r="BZ68" s="132"/>
      <c r="CA68" s="185">
        <v>0</v>
      </c>
      <c r="CB68" s="130">
        <v>3</v>
      </c>
      <c r="CC68" s="130">
        <v>0</v>
      </c>
      <c r="CD68" s="130">
        <v>183</v>
      </c>
      <c r="CE68" s="130">
        <v>6</v>
      </c>
      <c r="CF68" s="130">
        <v>185</v>
      </c>
      <c r="CG68" s="130">
        <v>3</v>
      </c>
      <c r="CH68" s="220">
        <f>+CF68+CG68</f>
        <v>188</v>
      </c>
    </row>
    <row r="69" spans="1:86" x14ac:dyDescent="0.25">
      <c r="A69" s="14">
        <v>48</v>
      </c>
      <c r="B69" s="2" t="s">
        <v>51</v>
      </c>
      <c r="C69" s="22"/>
      <c r="D69" s="183"/>
      <c r="E69" s="16">
        <v>26</v>
      </c>
      <c r="F69" s="16"/>
      <c r="G69" s="17"/>
      <c r="H69" s="17"/>
      <c r="I69" s="17"/>
      <c r="J69" s="17">
        <v>-1</v>
      </c>
      <c r="K69" s="136"/>
      <c r="L69" s="136"/>
      <c r="M69" s="136"/>
      <c r="N69" s="136"/>
      <c r="O69" s="136"/>
      <c r="P69" s="136">
        <v>-2</v>
      </c>
      <c r="Q69" s="183"/>
      <c r="R69" s="183">
        <v>-4</v>
      </c>
      <c r="S69" s="183"/>
      <c r="T69" s="183"/>
      <c r="U69" s="183"/>
      <c r="V69" s="183"/>
      <c r="W69" s="183">
        <v>-1</v>
      </c>
      <c r="X69" s="18">
        <v>35</v>
      </c>
      <c r="Y69" s="18"/>
      <c r="Z69" s="19"/>
      <c r="AA69" s="19">
        <v>3</v>
      </c>
      <c r="AB69" s="19">
        <v>1</v>
      </c>
      <c r="AC69" s="19">
        <v>2</v>
      </c>
      <c r="AD69" s="130">
        <v>1</v>
      </c>
      <c r="AE69" s="130">
        <v>1</v>
      </c>
      <c r="AF69" s="130">
        <v>7</v>
      </c>
      <c r="AG69" s="130">
        <v>4</v>
      </c>
      <c r="AH69" s="185">
        <v>2</v>
      </c>
      <c r="AI69" s="185">
        <v>11</v>
      </c>
      <c r="AJ69" s="185">
        <v>1</v>
      </c>
      <c r="AK69" s="185">
        <v>92</v>
      </c>
      <c r="AL69" s="185">
        <v>10</v>
      </c>
      <c r="AM69" s="185">
        <v>4</v>
      </c>
      <c r="AN69" s="185">
        <v>2</v>
      </c>
      <c r="AO69" s="185"/>
      <c r="AP69" s="185">
        <v>1</v>
      </c>
      <c r="AQ69" s="185">
        <v>1</v>
      </c>
      <c r="AR69" s="185">
        <v>1</v>
      </c>
      <c r="AS69" s="185">
        <v>2</v>
      </c>
      <c r="AT69" s="185">
        <v>3</v>
      </c>
      <c r="AU69" s="185">
        <v>2</v>
      </c>
      <c r="AV69" s="169">
        <v>2</v>
      </c>
      <c r="AW69" s="169">
        <v>1</v>
      </c>
      <c r="AX69" s="132">
        <v>-2</v>
      </c>
      <c r="AY69" s="185">
        <v>179</v>
      </c>
      <c r="AZ69" s="131">
        <v>1</v>
      </c>
      <c r="BA69" s="131"/>
      <c r="BB69" s="130"/>
      <c r="BC69" s="130"/>
      <c r="BD69" s="130"/>
      <c r="BE69" s="130"/>
      <c r="BF69" s="130"/>
      <c r="BG69" s="130"/>
      <c r="BH69" s="130"/>
      <c r="BI69" s="130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32">
        <v>1</v>
      </c>
      <c r="CA69" s="185">
        <v>1</v>
      </c>
      <c r="CB69" s="130">
        <v>2</v>
      </c>
      <c r="CC69" s="130">
        <v>0</v>
      </c>
      <c r="CD69" s="130">
        <v>181</v>
      </c>
      <c r="CE69" s="130">
        <v>1</v>
      </c>
      <c r="CF69" s="130">
        <v>180</v>
      </c>
      <c r="CG69" s="130">
        <v>2</v>
      </c>
      <c r="CH69" s="220">
        <f>+CF69+CG69</f>
        <v>182</v>
      </c>
    </row>
    <row r="70" spans="1:86" x14ac:dyDescent="0.25">
      <c r="A70" s="14">
        <v>25</v>
      </c>
      <c r="B70" s="2" t="s">
        <v>28</v>
      </c>
      <c r="C70" s="22"/>
      <c r="D70" s="183"/>
      <c r="E70" s="16">
        <v>100</v>
      </c>
      <c r="F70" s="16"/>
      <c r="G70" s="17"/>
      <c r="H70" s="17">
        <v>-1</v>
      </c>
      <c r="I70" s="17">
        <v>-1</v>
      </c>
      <c r="J70" s="17">
        <v>-3</v>
      </c>
      <c r="K70" s="136">
        <v>-1</v>
      </c>
      <c r="L70" s="136"/>
      <c r="M70" s="136">
        <v>-2</v>
      </c>
      <c r="N70" s="136"/>
      <c r="O70" s="136"/>
      <c r="P70" s="136"/>
      <c r="Q70" s="183">
        <v>-2</v>
      </c>
      <c r="R70" s="183">
        <v>-1</v>
      </c>
      <c r="S70" s="183"/>
      <c r="T70" s="183">
        <v>-3</v>
      </c>
      <c r="U70" s="183"/>
      <c r="V70" s="183"/>
      <c r="W70" s="183">
        <v>-1</v>
      </c>
      <c r="X70" s="18">
        <v>89</v>
      </c>
      <c r="Y70" s="18"/>
      <c r="Z70" s="19"/>
      <c r="AA70" s="19">
        <v>5</v>
      </c>
      <c r="AB70" s="19">
        <v>11</v>
      </c>
      <c r="AC70" s="19">
        <v>5</v>
      </c>
      <c r="AD70" s="130">
        <v>20</v>
      </c>
      <c r="AE70" s="130">
        <v>8</v>
      </c>
      <c r="AF70" s="130">
        <v>7</v>
      </c>
      <c r="AG70" s="130">
        <v>3</v>
      </c>
      <c r="AH70" s="185"/>
      <c r="AI70" s="185">
        <v>9</v>
      </c>
      <c r="AJ70" s="185">
        <v>6</v>
      </c>
      <c r="AK70" s="185">
        <v>3</v>
      </c>
      <c r="AL70" s="185">
        <v>1</v>
      </c>
      <c r="AM70" s="185">
        <v>6</v>
      </c>
      <c r="AN70" s="185">
        <v>1</v>
      </c>
      <c r="AO70" s="185">
        <v>2</v>
      </c>
      <c r="AP70" s="185">
        <v>1</v>
      </c>
      <c r="AQ70" s="185"/>
      <c r="AR70" s="185">
        <v>1</v>
      </c>
      <c r="AS70" s="185">
        <v>7</v>
      </c>
      <c r="AT70" s="169">
        <v>1</v>
      </c>
      <c r="AU70" s="169">
        <v>0</v>
      </c>
      <c r="AV70" s="169">
        <v>1</v>
      </c>
      <c r="AW70" s="185">
        <v>1</v>
      </c>
      <c r="AX70" s="132">
        <v>1</v>
      </c>
      <c r="AY70" s="185">
        <v>174</v>
      </c>
      <c r="AZ70" s="131">
        <v>0</v>
      </c>
      <c r="BA70" s="131">
        <v>11</v>
      </c>
      <c r="BB70" s="130"/>
      <c r="BC70" s="130"/>
      <c r="BD70" s="130">
        <v>-4</v>
      </c>
      <c r="BE70" s="130"/>
      <c r="BF70" s="130"/>
      <c r="BG70" s="130"/>
      <c r="BH70" s="130"/>
      <c r="BI70" s="130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32"/>
      <c r="CA70" s="185">
        <v>0</v>
      </c>
      <c r="CB70" s="130">
        <v>7</v>
      </c>
      <c r="CC70" s="130">
        <v>0</v>
      </c>
      <c r="CD70" s="130">
        <v>181</v>
      </c>
      <c r="CE70" s="130">
        <v>0</v>
      </c>
      <c r="CF70" s="130">
        <v>174</v>
      </c>
      <c r="CG70" s="130">
        <v>7</v>
      </c>
      <c r="CH70" s="220">
        <f>+CF70+CG70</f>
        <v>181</v>
      </c>
    </row>
    <row r="71" spans="1:86" x14ac:dyDescent="0.25">
      <c r="A71" s="14">
        <v>54</v>
      </c>
      <c r="B71" s="2" t="s">
        <v>57</v>
      </c>
      <c r="C71" s="22"/>
      <c r="D71" s="183"/>
      <c r="E71" s="16">
        <v>135</v>
      </c>
      <c r="F71" s="16"/>
      <c r="G71" s="17"/>
      <c r="H71" s="17"/>
      <c r="I71" s="17"/>
      <c r="J71" s="17"/>
      <c r="K71" s="136"/>
      <c r="L71" s="136"/>
      <c r="M71" s="136"/>
      <c r="N71" s="136">
        <v>-1</v>
      </c>
      <c r="O71" s="136"/>
      <c r="P71" s="136"/>
      <c r="Q71" s="183"/>
      <c r="R71" s="183"/>
      <c r="S71" s="183"/>
      <c r="T71" s="183"/>
      <c r="U71" s="183"/>
      <c r="V71" s="183"/>
      <c r="W71" s="183"/>
      <c r="X71" s="18">
        <v>124</v>
      </c>
      <c r="Y71" s="18">
        <v>3</v>
      </c>
      <c r="Z71" s="19">
        <v>1</v>
      </c>
      <c r="AA71" s="19">
        <v>7</v>
      </c>
      <c r="AB71" s="19">
        <v>5</v>
      </c>
      <c r="AC71" s="19"/>
      <c r="AD71" s="130">
        <v>2</v>
      </c>
      <c r="AE71" s="130">
        <v>4</v>
      </c>
      <c r="AF71" s="130">
        <v>1</v>
      </c>
      <c r="AG71" s="169">
        <v>1</v>
      </c>
      <c r="AH71" s="185">
        <v>5</v>
      </c>
      <c r="AI71" s="185">
        <v>1</v>
      </c>
      <c r="AJ71" s="185">
        <v>7</v>
      </c>
      <c r="AK71" s="185"/>
      <c r="AL71" s="185">
        <v>1</v>
      </c>
      <c r="AM71" s="185"/>
      <c r="AN71" s="185"/>
      <c r="AO71" s="185"/>
      <c r="AP71" s="185">
        <v>1</v>
      </c>
      <c r="AQ71" s="185"/>
      <c r="AR71" s="169"/>
      <c r="AS71" s="185">
        <v>1</v>
      </c>
      <c r="AT71" s="169">
        <v>1</v>
      </c>
      <c r="AU71" s="169">
        <v>0</v>
      </c>
      <c r="AV71" s="169"/>
      <c r="AW71" s="185">
        <v>1</v>
      </c>
      <c r="AX71" s="132">
        <v>0</v>
      </c>
      <c r="AY71" s="185">
        <v>165</v>
      </c>
      <c r="AZ71" s="131">
        <v>2</v>
      </c>
      <c r="BA71" s="131">
        <v>12</v>
      </c>
      <c r="BB71" s="130">
        <v>3</v>
      </c>
      <c r="BC71" s="130"/>
      <c r="BD71" s="130">
        <v>-3</v>
      </c>
      <c r="BE71" s="130"/>
      <c r="BF71" s="130"/>
      <c r="BG71" s="130"/>
      <c r="BH71" s="130"/>
      <c r="BI71" s="169"/>
      <c r="BJ71" s="185"/>
      <c r="BK71" s="185"/>
      <c r="BL71" s="185"/>
      <c r="BM71" s="185"/>
      <c r="BN71" s="185"/>
      <c r="BO71" s="185"/>
      <c r="BP71" s="185">
        <v>3</v>
      </c>
      <c r="BQ71" s="185"/>
      <c r="BR71" s="185"/>
      <c r="BS71" s="185"/>
      <c r="BT71" s="185"/>
      <c r="BU71" s="185"/>
      <c r="BV71" s="185"/>
      <c r="BW71" s="185"/>
      <c r="BX71" s="185">
        <v>-1</v>
      </c>
      <c r="BY71" s="185"/>
      <c r="BZ71" s="132"/>
      <c r="CA71" s="185"/>
      <c r="CB71" s="130">
        <v>14</v>
      </c>
      <c r="CC71" s="130">
        <v>0</v>
      </c>
      <c r="CD71" s="130">
        <v>179</v>
      </c>
      <c r="CE71" s="130">
        <v>2</v>
      </c>
      <c r="CF71" s="130">
        <v>167</v>
      </c>
      <c r="CG71" s="130">
        <v>14</v>
      </c>
      <c r="CH71" s="220">
        <f>+CF71+CG71</f>
        <v>181</v>
      </c>
    </row>
    <row r="72" spans="1:86" x14ac:dyDescent="0.25">
      <c r="A72" s="14">
        <v>86</v>
      </c>
      <c r="B72" s="2" t="s">
        <v>89</v>
      </c>
      <c r="C72" s="22"/>
      <c r="D72" s="183">
        <v>-1</v>
      </c>
      <c r="E72" s="16">
        <v>33</v>
      </c>
      <c r="F72" s="16"/>
      <c r="G72" s="17"/>
      <c r="H72" s="17"/>
      <c r="I72" s="17">
        <v>-1</v>
      </c>
      <c r="J72" s="17"/>
      <c r="K72" s="136"/>
      <c r="L72" s="136"/>
      <c r="M72" s="136">
        <v>-1</v>
      </c>
      <c r="N72" s="136"/>
      <c r="O72" s="136"/>
      <c r="P72" s="136"/>
      <c r="Q72" s="183"/>
      <c r="R72" s="183"/>
      <c r="S72" s="183"/>
      <c r="T72" s="183"/>
      <c r="U72" s="183"/>
      <c r="V72" s="183"/>
      <c r="W72" s="183"/>
      <c r="X72" s="18">
        <v>34</v>
      </c>
      <c r="Y72" s="18">
        <v>4</v>
      </c>
      <c r="Z72" s="19">
        <v>1</v>
      </c>
      <c r="AA72" s="19">
        <v>17</v>
      </c>
      <c r="AB72" s="19">
        <v>3</v>
      </c>
      <c r="AC72" s="19">
        <v>18</v>
      </c>
      <c r="AD72" s="130">
        <v>7</v>
      </c>
      <c r="AE72" s="130">
        <v>21</v>
      </c>
      <c r="AF72" s="130">
        <v>8</v>
      </c>
      <c r="AG72" s="130">
        <v>3</v>
      </c>
      <c r="AH72" s="185">
        <v>10</v>
      </c>
      <c r="AI72" s="185">
        <v>4</v>
      </c>
      <c r="AJ72" s="185">
        <v>2</v>
      </c>
      <c r="AK72" s="185">
        <v>2</v>
      </c>
      <c r="AL72" s="185">
        <v>3</v>
      </c>
      <c r="AM72" s="185">
        <v>1</v>
      </c>
      <c r="AN72" s="185">
        <v>1</v>
      </c>
      <c r="AO72" s="185">
        <v>8</v>
      </c>
      <c r="AP72" s="185">
        <v>5</v>
      </c>
      <c r="AQ72" s="185">
        <v>2</v>
      </c>
      <c r="AR72" s="185">
        <v>2</v>
      </c>
      <c r="AS72" s="185">
        <v>1</v>
      </c>
      <c r="AT72" s="169">
        <v>2</v>
      </c>
      <c r="AU72" s="185">
        <v>2</v>
      </c>
      <c r="AV72" s="185">
        <v>2</v>
      </c>
      <c r="AW72" s="185">
        <v>1</v>
      </c>
      <c r="AX72" s="132">
        <v>1</v>
      </c>
      <c r="AY72" s="185">
        <v>163</v>
      </c>
      <c r="AZ72" s="131">
        <v>6</v>
      </c>
      <c r="BA72" s="131"/>
      <c r="BB72" s="130"/>
      <c r="BC72" s="130"/>
      <c r="BD72" s="130"/>
      <c r="BE72" s="130"/>
      <c r="BF72" s="130">
        <v>1</v>
      </c>
      <c r="BG72" s="130"/>
      <c r="BH72" s="130"/>
      <c r="BI72" s="130">
        <v>5</v>
      </c>
      <c r="BJ72" s="185">
        <v>1</v>
      </c>
      <c r="BK72" s="185">
        <v>3</v>
      </c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  <c r="BV72" s="185"/>
      <c r="BW72" s="185"/>
      <c r="BX72" s="185"/>
      <c r="BY72" s="185"/>
      <c r="BZ72" s="132"/>
      <c r="CA72" s="185"/>
      <c r="CB72" s="130">
        <v>10</v>
      </c>
      <c r="CC72" s="130">
        <v>0</v>
      </c>
      <c r="CD72" s="130">
        <v>173</v>
      </c>
      <c r="CE72" s="130">
        <v>6</v>
      </c>
      <c r="CF72" s="130">
        <v>168</v>
      </c>
      <c r="CG72" s="130">
        <v>10</v>
      </c>
      <c r="CH72" s="220">
        <f>+CF72+CG72</f>
        <v>178</v>
      </c>
    </row>
    <row r="73" spans="1:86" x14ac:dyDescent="0.25">
      <c r="A73" s="14">
        <v>42</v>
      </c>
      <c r="B73" s="2" t="s">
        <v>45</v>
      </c>
      <c r="C73" s="22"/>
      <c r="D73" s="183"/>
      <c r="E73" s="16">
        <v>64</v>
      </c>
      <c r="F73" s="16"/>
      <c r="G73" s="17"/>
      <c r="H73" s="17">
        <v>-1</v>
      </c>
      <c r="I73" s="17"/>
      <c r="J73" s="17"/>
      <c r="K73" s="136">
        <v>-2</v>
      </c>
      <c r="L73" s="136"/>
      <c r="M73" s="136"/>
      <c r="N73" s="136"/>
      <c r="O73" s="136">
        <v>-1</v>
      </c>
      <c r="P73" s="136"/>
      <c r="Q73" s="183"/>
      <c r="R73" s="183">
        <v>-13</v>
      </c>
      <c r="S73" s="183"/>
      <c r="T73" s="183"/>
      <c r="U73" s="183"/>
      <c r="V73" s="183">
        <v>-3</v>
      </c>
      <c r="W73" s="183"/>
      <c r="X73" s="18">
        <v>63</v>
      </c>
      <c r="Y73" s="18">
        <v>1</v>
      </c>
      <c r="Z73" s="19">
        <v>6</v>
      </c>
      <c r="AA73" s="19">
        <v>8</v>
      </c>
      <c r="AB73" s="19">
        <v>7</v>
      </c>
      <c r="AC73" s="19">
        <v>1</v>
      </c>
      <c r="AD73" s="130">
        <v>6</v>
      </c>
      <c r="AE73" s="130">
        <v>2</v>
      </c>
      <c r="AF73" s="130">
        <v>7</v>
      </c>
      <c r="AG73" s="130"/>
      <c r="AH73" s="185">
        <v>2</v>
      </c>
      <c r="AI73" s="185">
        <v>1</v>
      </c>
      <c r="AJ73" s="185">
        <v>2</v>
      </c>
      <c r="AK73" s="185">
        <v>26</v>
      </c>
      <c r="AL73" s="185">
        <v>2</v>
      </c>
      <c r="AM73" s="185">
        <v>3</v>
      </c>
      <c r="AN73" s="169">
        <v>3</v>
      </c>
      <c r="AO73" s="185">
        <v>1</v>
      </c>
      <c r="AP73" s="185">
        <v>9</v>
      </c>
      <c r="AQ73" s="185">
        <v>1</v>
      </c>
      <c r="AR73" s="185">
        <v>2</v>
      </c>
      <c r="AS73" s="185">
        <v>13</v>
      </c>
      <c r="AT73" s="185">
        <v>1</v>
      </c>
      <c r="AU73" s="169">
        <v>1</v>
      </c>
      <c r="AV73" s="185">
        <v>1</v>
      </c>
      <c r="AW73" s="185">
        <v>0</v>
      </c>
      <c r="AX73" s="132">
        <v>0</v>
      </c>
      <c r="AY73" s="185">
        <v>149</v>
      </c>
      <c r="AZ73" s="131">
        <v>1</v>
      </c>
      <c r="BA73" s="131">
        <v>4</v>
      </c>
      <c r="BB73" s="130"/>
      <c r="BC73" s="130">
        <v>17</v>
      </c>
      <c r="BD73" s="130"/>
      <c r="BE73" s="130"/>
      <c r="BF73" s="130"/>
      <c r="BG73" s="130">
        <v>2</v>
      </c>
      <c r="BH73" s="130"/>
      <c r="BI73" s="130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>
        <v>1</v>
      </c>
      <c r="BV73" s="185"/>
      <c r="BW73" s="185"/>
      <c r="BX73" s="185"/>
      <c r="BY73" s="185"/>
      <c r="BZ73" s="132"/>
      <c r="CA73" s="185">
        <v>0</v>
      </c>
      <c r="CB73" s="130">
        <v>24</v>
      </c>
      <c r="CC73" s="130">
        <v>0</v>
      </c>
      <c r="CD73" s="130">
        <v>173</v>
      </c>
      <c r="CE73" s="130">
        <v>1</v>
      </c>
      <c r="CF73" s="130">
        <v>150</v>
      </c>
      <c r="CG73" s="130">
        <v>24</v>
      </c>
      <c r="CH73" s="220">
        <f>+CF73+CG73</f>
        <v>174</v>
      </c>
    </row>
    <row r="74" spans="1:86" x14ac:dyDescent="0.25">
      <c r="A74" s="14">
        <v>88</v>
      </c>
      <c r="B74" s="2" t="s">
        <v>91</v>
      </c>
      <c r="C74" s="22"/>
      <c r="D74" s="183"/>
      <c r="E74" s="16">
        <v>81</v>
      </c>
      <c r="F74" s="16"/>
      <c r="G74" s="17"/>
      <c r="H74" s="17"/>
      <c r="I74" s="17"/>
      <c r="J74" s="17">
        <v>-4</v>
      </c>
      <c r="K74" s="136"/>
      <c r="L74" s="136"/>
      <c r="M74" s="136"/>
      <c r="N74" s="136"/>
      <c r="O74" s="136"/>
      <c r="P74" s="136"/>
      <c r="Q74" s="183"/>
      <c r="R74" s="183">
        <v>-1</v>
      </c>
      <c r="S74" s="183"/>
      <c r="T74" s="183"/>
      <c r="U74" s="183"/>
      <c r="V74" s="183"/>
      <c r="W74" s="183"/>
      <c r="X74" s="18">
        <v>79</v>
      </c>
      <c r="Y74" s="18">
        <v>2</v>
      </c>
      <c r="Z74" s="19">
        <v>1</v>
      </c>
      <c r="AA74" s="19">
        <v>6</v>
      </c>
      <c r="AB74" s="19">
        <v>16</v>
      </c>
      <c r="AC74" s="19">
        <v>42</v>
      </c>
      <c r="AD74" s="130">
        <v>1</v>
      </c>
      <c r="AE74" s="130">
        <v>3</v>
      </c>
      <c r="AF74" s="130">
        <v>1</v>
      </c>
      <c r="AG74" s="130">
        <v>3</v>
      </c>
      <c r="AH74" s="185">
        <v>2</v>
      </c>
      <c r="AI74" s="185"/>
      <c r="AJ74" s="185">
        <v>3</v>
      </c>
      <c r="AK74" s="185">
        <v>5</v>
      </c>
      <c r="AL74" s="185">
        <v>5</v>
      </c>
      <c r="AM74" s="185"/>
      <c r="AN74" s="185"/>
      <c r="AO74" s="185"/>
      <c r="AP74" s="185"/>
      <c r="AQ74" s="185"/>
      <c r="AR74" s="185"/>
      <c r="AS74" s="185"/>
      <c r="AT74" s="185">
        <v>1</v>
      </c>
      <c r="AU74" s="185">
        <v>2</v>
      </c>
      <c r="AV74" s="169">
        <v>1</v>
      </c>
      <c r="AW74" s="185">
        <v>1</v>
      </c>
      <c r="AX74" s="132">
        <v>0</v>
      </c>
      <c r="AY74" s="185">
        <v>169</v>
      </c>
      <c r="AZ74" s="131">
        <v>2</v>
      </c>
      <c r="BA74" s="131">
        <v>6</v>
      </c>
      <c r="BB74" s="130"/>
      <c r="BC74" s="130"/>
      <c r="BD74" s="130">
        <v>-3</v>
      </c>
      <c r="BE74" s="130"/>
      <c r="BF74" s="130"/>
      <c r="BG74" s="130"/>
      <c r="BH74" s="130"/>
      <c r="BI74" s="130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85"/>
      <c r="BV74" s="185"/>
      <c r="BW74" s="185"/>
      <c r="BX74" s="185"/>
      <c r="BY74" s="185"/>
      <c r="BZ74" s="132"/>
      <c r="CA74" s="185"/>
      <c r="CB74" s="130">
        <v>3</v>
      </c>
      <c r="CC74" s="130">
        <v>0</v>
      </c>
      <c r="CD74" s="130">
        <v>172</v>
      </c>
      <c r="CE74" s="130">
        <v>2</v>
      </c>
      <c r="CF74" s="130">
        <v>171</v>
      </c>
      <c r="CG74" s="130">
        <v>3</v>
      </c>
      <c r="CH74" s="220">
        <f>+CF74+CG74</f>
        <v>174</v>
      </c>
    </row>
    <row r="75" spans="1:86" x14ac:dyDescent="0.25">
      <c r="A75" s="14">
        <v>36</v>
      </c>
      <c r="B75" s="2" t="s">
        <v>39</v>
      </c>
      <c r="C75" s="15"/>
      <c r="D75" s="183">
        <v>-6</v>
      </c>
      <c r="E75" s="16">
        <v>31</v>
      </c>
      <c r="F75" s="16"/>
      <c r="G75" s="17"/>
      <c r="H75" s="17"/>
      <c r="I75" s="17"/>
      <c r="J75" s="17"/>
      <c r="K75" s="136"/>
      <c r="L75" s="136"/>
      <c r="M75" s="136"/>
      <c r="N75" s="136"/>
      <c r="O75" s="136"/>
      <c r="P75" s="136"/>
      <c r="Q75" s="183"/>
      <c r="R75" s="183"/>
      <c r="S75" s="183"/>
      <c r="T75" s="183"/>
      <c r="U75" s="183"/>
      <c r="V75" s="183"/>
      <c r="W75" s="183"/>
      <c r="X75" s="18">
        <v>27</v>
      </c>
      <c r="Y75" s="18">
        <v>1</v>
      </c>
      <c r="Z75" s="19">
        <v>11</v>
      </c>
      <c r="AA75" s="19"/>
      <c r="AB75" s="19">
        <v>1</v>
      </c>
      <c r="AC75" s="19">
        <v>3</v>
      </c>
      <c r="AD75" s="130">
        <v>2</v>
      </c>
      <c r="AE75" s="130"/>
      <c r="AF75" s="130">
        <v>1</v>
      </c>
      <c r="AG75" s="130">
        <v>11</v>
      </c>
      <c r="AH75" s="185">
        <v>24</v>
      </c>
      <c r="AI75" s="185"/>
      <c r="AJ75" s="185">
        <v>2</v>
      </c>
      <c r="AK75" s="185"/>
      <c r="AL75" s="185"/>
      <c r="AM75" s="185">
        <v>1</v>
      </c>
      <c r="AN75" s="169">
        <v>10</v>
      </c>
      <c r="AO75" s="185">
        <v>2</v>
      </c>
      <c r="AP75" s="185">
        <v>4</v>
      </c>
      <c r="AQ75" s="185">
        <v>18</v>
      </c>
      <c r="AR75" s="185">
        <v>7</v>
      </c>
      <c r="AS75" s="169">
        <v>25</v>
      </c>
      <c r="AT75" s="185">
        <v>8</v>
      </c>
      <c r="AU75" s="185">
        <v>2</v>
      </c>
      <c r="AV75" s="169">
        <v>0</v>
      </c>
      <c r="AW75" s="185">
        <v>1</v>
      </c>
      <c r="AX75" s="132">
        <v>0</v>
      </c>
      <c r="AY75" s="185">
        <v>161</v>
      </c>
      <c r="AZ75" s="131">
        <v>6</v>
      </c>
      <c r="BA75" s="131">
        <v>4</v>
      </c>
      <c r="BB75" s="130"/>
      <c r="BC75" s="130">
        <v>-1</v>
      </c>
      <c r="BD75" s="130"/>
      <c r="BE75" s="130"/>
      <c r="BF75" s="130"/>
      <c r="BG75" s="130"/>
      <c r="BH75" s="130"/>
      <c r="BI75" s="130"/>
      <c r="BJ75" s="185"/>
      <c r="BK75" s="185"/>
      <c r="BL75" s="185"/>
      <c r="BM75" s="185"/>
      <c r="BN75" s="185"/>
      <c r="BO75" s="185">
        <v>1</v>
      </c>
      <c r="BP75" s="185"/>
      <c r="BQ75" s="185"/>
      <c r="BR75" s="185"/>
      <c r="BS75" s="185"/>
      <c r="BT75" s="185"/>
      <c r="BU75" s="185"/>
      <c r="BV75" s="185"/>
      <c r="BW75" s="185">
        <v>1</v>
      </c>
      <c r="BX75" s="185"/>
      <c r="BY75" s="185"/>
      <c r="BZ75" s="132"/>
      <c r="CA75" s="185">
        <v>0</v>
      </c>
      <c r="CB75" s="130">
        <v>5</v>
      </c>
      <c r="CC75" s="130">
        <v>0</v>
      </c>
      <c r="CD75" s="130">
        <v>166</v>
      </c>
      <c r="CE75" s="130">
        <v>6</v>
      </c>
      <c r="CF75" s="130">
        <v>161</v>
      </c>
      <c r="CG75" s="130">
        <v>5</v>
      </c>
      <c r="CH75" s="220">
        <f>+CF75+CG75</f>
        <v>166</v>
      </c>
    </row>
    <row r="76" spans="1:86" x14ac:dyDescent="0.25">
      <c r="A76" s="14">
        <v>62</v>
      </c>
      <c r="B76" s="2" t="s">
        <v>65</v>
      </c>
      <c r="C76" s="22"/>
      <c r="D76" s="183"/>
      <c r="E76" s="16">
        <v>34</v>
      </c>
      <c r="F76" s="16"/>
      <c r="G76" s="17">
        <v>-1</v>
      </c>
      <c r="H76" s="17"/>
      <c r="I76" s="17">
        <v>-2</v>
      </c>
      <c r="J76" s="17">
        <v>-1</v>
      </c>
      <c r="K76" s="136"/>
      <c r="L76" s="136"/>
      <c r="M76" s="136"/>
      <c r="N76" s="136"/>
      <c r="O76" s="136"/>
      <c r="P76" s="136">
        <v>-1</v>
      </c>
      <c r="Q76" s="183"/>
      <c r="R76" s="183"/>
      <c r="S76" s="183">
        <v>-1</v>
      </c>
      <c r="T76" s="183"/>
      <c r="U76" s="183"/>
      <c r="V76" s="183">
        <v>-1</v>
      </c>
      <c r="W76" s="183"/>
      <c r="X76" s="18">
        <v>35</v>
      </c>
      <c r="Y76" s="18">
        <v>9</v>
      </c>
      <c r="Z76" s="19">
        <v>1</v>
      </c>
      <c r="AA76" s="19">
        <v>3</v>
      </c>
      <c r="AB76" s="19">
        <v>21</v>
      </c>
      <c r="AC76" s="19">
        <v>17</v>
      </c>
      <c r="AD76" s="130">
        <v>1</v>
      </c>
      <c r="AE76" s="130">
        <v>6</v>
      </c>
      <c r="AF76" s="130">
        <v>28</v>
      </c>
      <c r="AG76" s="130">
        <v>2</v>
      </c>
      <c r="AH76" s="185">
        <v>2</v>
      </c>
      <c r="AI76" s="185">
        <v>3</v>
      </c>
      <c r="AJ76" s="185">
        <v>6</v>
      </c>
      <c r="AK76" s="185">
        <v>5</v>
      </c>
      <c r="AL76" s="185">
        <v>9</v>
      </c>
      <c r="AM76" s="185">
        <v>3</v>
      </c>
      <c r="AN76" s="169">
        <v>1</v>
      </c>
      <c r="AO76" s="185">
        <v>5</v>
      </c>
      <c r="AP76" s="185">
        <v>4</v>
      </c>
      <c r="AQ76" s="185">
        <v>1</v>
      </c>
      <c r="AR76" s="185">
        <v>1</v>
      </c>
      <c r="AS76" s="169">
        <v>2</v>
      </c>
      <c r="AT76" s="185"/>
      <c r="AU76" s="185">
        <v>2</v>
      </c>
      <c r="AV76" s="185">
        <v>1</v>
      </c>
      <c r="AW76" s="185">
        <v>1</v>
      </c>
      <c r="AX76" s="132">
        <v>1</v>
      </c>
      <c r="AY76" s="185">
        <v>163</v>
      </c>
      <c r="AZ76" s="131">
        <v>1</v>
      </c>
      <c r="BA76" s="131"/>
      <c r="BB76" s="130"/>
      <c r="BC76" s="130"/>
      <c r="BD76" s="130"/>
      <c r="BE76" s="130"/>
      <c r="BF76" s="130">
        <v>1</v>
      </c>
      <c r="BG76" s="130"/>
      <c r="BH76" s="130"/>
      <c r="BI76" s="130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32"/>
      <c r="CA76" s="185"/>
      <c r="CB76" s="130">
        <v>1</v>
      </c>
      <c r="CC76" s="130">
        <v>0</v>
      </c>
      <c r="CD76" s="130">
        <v>164</v>
      </c>
      <c r="CE76" s="130">
        <v>1</v>
      </c>
      <c r="CF76" s="130">
        <v>164</v>
      </c>
      <c r="CG76" s="130">
        <v>1</v>
      </c>
      <c r="CH76" s="220">
        <f>+CF76+CG76</f>
        <v>165</v>
      </c>
    </row>
    <row r="77" spans="1:86" x14ac:dyDescent="0.25">
      <c r="A77" s="14">
        <v>93</v>
      </c>
      <c r="B77" s="2" t="s">
        <v>96</v>
      </c>
      <c r="C77" s="15"/>
      <c r="D77" s="183"/>
      <c r="E77" s="16">
        <v>5</v>
      </c>
      <c r="F77" s="16"/>
      <c r="G77" s="17"/>
      <c r="H77" s="17"/>
      <c r="I77" s="17"/>
      <c r="J77" s="17"/>
      <c r="K77" s="136">
        <v>-1</v>
      </c>
      <c r="L77" s="136"/>
      <c r="M77" s="136"/>
      <c r="N77" s="136"/>
      <c r="O77" s="136"/>
      <c r="P77" s="136"/>
      <c r="Q77" s="183"/>
      <c r="R77" s="183"/>
      <c r="S77" s="183"/>
      <c r="T77" s="183"/>
      <c r="U77" s="183"/>
      <c r="V77" s="183"/>
      <c r="W77" s="183"/>
      <c r="X77" s="18">
        <v>6</v>
      </c>
      <c r="Y77" s="18"/>
      <c r="Z77" s="19">
        <v>1</v>
      </c>
      <c r="AA77" s="19">
        <v>5</v>
      </c>
      <c r="AB77" s="19">
        <v>3</v>
      </c>
      <c r="AC77" s="19">
        <v>2</v>
      </c>
      <c r="AD77" s="130">
        <v>41</v>
      </c>
      <c r="AE77" s="130">
        <v>23</v>
      </c>
      <c r="AF77" s="130">
        <v>70</v>
      </c>
      <c r="AG77" s="130"/>
      <c r="AH77" s="185">
        <v>1</v>
      </c>
      <c r="AI77" s="185"/>
      <c r="AJ77" s="185"/>
      <c r="AK77" s="185"/>
      <c r="AL77" s="185"/>
      <c r="AM77" s="185">
        <v>2</v>
      </c>
      <c r="AN77" s="185"/>
      <c r="AO77" s="185">
        <v>2</v>
      </c>
      <c r="AP77" s="185"/>
      <c r="AQ77" s="185"/>
      <c r="AR77" s="185"/>
      <c r="AS77" s="185"/>
      <c r="AT77" s="185"/>
      <c r="AU77" s="185">
        <v>1</v>
      </c>
      <c r="AV77" s="185"/>
      <c r="AW77" s="185"/>
      <c r="AX77" s="132">
        <v>3</v>
      </c>
      <c r="AY77" s="185">
        <v>159</v>
      </c>
      <c r="AZ77" s="131">
        <v>0</v>
      </c>
      <c r="BA77" s="131"/>
      <c r="BB77" s="130"/>
      <c r="BC77" s="130"/>
      <c r="BD77" s="130"/>
      <c r="BE77" s="130"/>
      <c r="BF77" s="130"/>
      <c r="BG77" s="130"/>
      <c r="BH77" s="130"/>
      <c r="BI77" s="130"/>
      <c r="BJ77" s="185"/>
      <c r="BK77" s="185">
        <v>1</v>
      </c>
      <c r="BL77" s="185">
        <v>1</v>
      </c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32"/>
      <c r="CA77" s="185"/>
      <c r="CB77" s="130">
        <v>2</v>
      </c>
      <c r="CC77" s="130">
        <v>0</v>
      </c>
      <c r="CD77" s="130">
        <v>161</v>
      </c>
      <c r="CE77" s="130">
        <v>0</v>
      </c>
      <c r="CF77" s="130">
        <v>159</v>
      </c>
      <c r="CG77" s="130">
        <v>2</v>
      </c>
      <c r="CH77" s="220">
        <f>+CF77+CG77</f>
        <v>161</v>
      </c>
    </row>
    <row r="78" spans="1:86" x14ac:dyDescent="0.25">
      <c r="A78" s="14">
        <v>18</v>
      </c>
      <c r="B78" s="2" t="s">
        <v>22</v>
      </c>
      <c r="C78" s="15"/>
      <c r="D78" s="183">
        <v>-5</v>
      </c>
      <c r="E78" s="16">
        <v>62</v>
      </c>
      <c r="F78" s="16"/>
      <c r="G78" s="17"/>
      <c r="H78" s="17"/>
      <c r="I78" s="17"/>
      <c r="J78" s="17"/>
      <c r="K78" s="136"/>
      <c r="L78" s="136">
        <v>-1</v>
      </c>
      <c r="M78" s="136"/>
      <c r="N78" s="136">
        <v>-1</v>
      </c>
      <c r="O78" s="136"/>
      <c r="P78" s="136"/>
      <c r="Q78" s="183"/>
      <c r="R78" s="183"/>
      <c r="S78" s="183"/>
      <c r="T78" s="183"/>
      <c r="U78" s="183"/>
      <c r="V78" s="183"/>
      <c r="W78" s="183"/>
      <c r="X78" s="18">
        <v>60</v>
      </c>
      <c r="Y78" s="18">
        <v>4</v>
      </c>
      <c r="Z78" s="19"/>
      <c r="AA78" s="19">
        <v>1</v>
      </c>
      <c r="AB78" s="19">
        <v>9</v>
      </c>
      <c r="AC78" s="19">
        <v>3</v>
      </c>
      <c r="AD78" s="130">
        <v>3</v>
      </c>
      <c r="AE78" s="130">
        <v>12</v>
      </c>
      <c r="AF78" s="130">
        <v>2</v>
      </c>
      <c r="AG78" s="130">
        <v>1</v>
      </c>
      <c r="AH78" s="185">
        <v>3</v>
      </c>
      <c r="AI78" s="185">
        <v>4</v>
      </c>
      <c r="AJ78" s="185">
        <v>20</v>
      </c>
      <c r="AK78" s="185"/>
      <c r="AL78" s="185">
        <v>9</v>
      </c>
      <c r="AM78" s="169">
        <v>2</v>
      </c>
      <c r="AN78" s="169">
        <v>2</v>
      </c>
      <c r="AO78" s="185">
        <v>1</v>
      </c>
      <c r="AP78" s="185">
        <v>1</v>
      </c>
      <c r="AQ78" s="185">
        <v>2</v>
      </c>
      <c r="AR78" s="169">
        <v>3</v>
      </c>
      <c r="AS78" s="169">
        <v>3</v>
      </c>
      <c r="AT78" s="169">
        <v>7</v>
      </c>
      <c r="AU78" s="130">
        <v>5</v>
      </c>
      <c r="AV78" s="169">
        <v>2</v>
      </c>
      <c r="AW78" s="185">
        <v>0</v>
      </c>
      <c r="AX78" s="132">
        <v>0</v>
      </c>
      <c r="AY78" s="185">
        <v>157</v>
      </c>
      <c r="AZ78" s="131">
        <v>1</v>
      </c>
      <c r="BA78" s="131">
        <v>2</v>
      </c>
      <c r="BB78" s="130"/>
      <c r="BC78" s="130"/>
      <c r="BD78" s="130"/>
      <c r="BE78" s="130"/>
      <c r="BF78" s="130"/>
      <c r="BG78" s="130"/>
      <c r="BH78" s="130">
        <v>1</v>
      </c>
      <c r="BI78" s="130"/>
      <c r="BJ78" s="185">
        <v>1</v>
      </c>
      <c r="BK78" s="185"/>
      <c r="BL78" s="185">
        <v>1</v>
      </c>
      <c r="BM78" s="185"/>
      <c r="BN78" s="185"/>
      <c r="BO78" s="169"/>
      <c r="BP78" s="185"/>
      <c r="BQ78" s="185"/>
      <c r="BR78" s="185"/>
      <c r="BS78" s="185"/>
      <c r="BT78" s="185"/>
      <c r="BU78" s="185"/>
      <c r="BV78" s="228"/>
      <c r="BW78" s="185"/>
      <c r="BX78" s="185"/>
      <c r="BY78" s="185"/>
      <c r="BZ78" s="132"/>
      <c r="CA78" s="185">
        <v>0</v>
      </c>
      <c r="CB78" s="130">
        <v>5</v>
      </c>
      <c r="CC78" s="130">
        <v>0</v>
      </c>
      <c r="CD78" s="130">
        <v>162</v>
      </c>
      <c r="CE78" s="130">
        <v>1</v>
      </c>
      <c r="CF78" s="130">
        <v>153</v>
      </c>
      <c r="CG78" s="130">
        <v>5</v>
      </c>
      <c r="CH78" s="220">
        <f>+CF78+CG78</f>
        <v>158</v>
      </c>
    </row>
    <row r="79" spans="1:86" x14ac:dyDescent="0.25">
      <c r="A79" s="14">
        <v>94</v>
      </c>
      <c r="B79" s="2" t="s">
        <v>97</v>
      </c>
      <c r="C79" s="15"/>
      <c r="D79" s="183"/>
      <c r="E79" s="16">
        <v>8</v>
      </c>
      <c r="F79" s="16"/>
      <c r="G79" s="17"/>
      <c r="H79" s="17"/>
      <c r="I79" s="17"/>
      <c r="J79" s="17"/>
      <c r="K79" s="136">
        <v>-1</v>
      </c>
      <c r="L79" s="136"/>
      <c r="M79" s="136">
        <v>-1</v>
      </c>
      <c r="N79" s="136"/>
      <c r="O79" s="136"/>
      <c r="P79" s="136">
        <v>-1</v>
      </c>
      <c r="Q79" s="183"/>
      <c r="R79" s="183"/>
      <c r="S79" s="183"/>
      <c r="T79" s="183"/>
      <c r="U79" s="183"/>
      <c r="V79" s="183"/>
      <c r="W79" s="183"/>
      <c r="X79" s="18">
        <v>9</v>
      </c>
      <c r="Y79" s="18">
        <v>1</v>
      </c>
      <c r="Z79" s="19">
        <v>3</v>
      </c>
      <c r="AA79" s="19">
        <v>2</v>
      </c>
      <c r="AB79" s="19">
        <v>4</v>
      </c>
      <c r="AC79" s="19">
        <v>3</v>
      </c>
      <c r="AD79" s="130">
        <v>52</v>
      </c>
      <c r="AE79" s="130">
        <v>51</v>
      </c>
      <c r="AF79" s="130">
        <v>5</v>
      </c>
      <c r="AG79" s="130">
        <v>10</v>
      </c>
      <c r="AH79" s="185">
        <v>2</v>
      </c>
      <c r="AI79" s="185">
        <v>2</v>
      </c>
      <c r="AJ79" s="185"/>
      <c r="AK79" s="185">
        <v>4</v>
      </c>
      <c r="AL79" s="185">
        <v>1</v>
      </c>
      <c r="AM79" s="185"/>
      <c r="AN79" s="185"/>
      <c r="AO79" s="185">
        <v>1</v>
      </c>
      <c r="AP79" s="185"/>
      <c r="AQ79" s="185"/>
      <c r="AR79" s="169">
        <v>3</v>
      </c>
      <c r="AS79" s="185">
        <v>2</v>
      </c>
      <c r="AT79" s="185"/>
      <c r="AU79" s="185"/>
      <c r="AV79" s="185">
        <v>1</v>
      </c>
      <c r="AW79" s="185">
        <v>1</v>
      </c>
      <c r="AX79" s="132">
        <v>1</v>
      </c>
      <c r="AY79" s="185">
        <v>155</v>
      </c>
      <c r="AZ79" s="131">
        <v>0</v>
      </c>
      <c r="BA79" s="131">
        <v>1</v>
      </c>
      <c r="BB79" s="130"/>
      <c r="BC79" s="130"/>
      <c r="BD79" s="130"/>
      <c r="BE79" s="130"/>
      <c r="BF79" s="130">
        <v>-1</v>
      </c>
      <c r="BG79" s="130"/>
      <c r="BH79" s="130">
        <v>1</v>
      </c>
      <c r="BI79" s="130"/>
      <c r="BJ79" s="185"/>
      <c r="BK79" s="185"/>
      <c r="BL79" s="185"/>
      <c r="BM79" s="185">
        <v>1</v>
      </c>
      <c r="BN79" s="185"/>
      <c r="BO79" s="185"/>
      <c r="BP79" s="185"/>
      <c r="BQ79" s="185"/>
      <c r="BR79" s="185"/>
      <c r="BS79" s="185"/>
      <c r="BT79" s="185"/>
      <c r="BU79" s="185"/>
      <c r="BV79" s="185"/>
      <c r="BW79" s="185"/>
      <c r="BX79" s="185"/>
      <c r="BY79" s="185"/>
      <c r="BZ79" s="132"/>
      <c r="CA79" s="185"/>
      <c r="CB79" s="130">
        <v>2</v>
      </c>
      <c r="CC79" s="130">
        <v>0</v>
      </c>
      <c r="CD79" s="130">
        <v>157</v>
      </c>
      <c r="CE79" s="130">
        <v>0</v>
      </c>
      <c r="CF79" s="130">
        <v>155</v>
      </c>
      <c r="CG79" s="130">
        <v>2</v>
      </c>
      <c r="CH79" s="220">
        <f>+CF79+CG79</f>
        <v>157</v>
      </c>
    </row>
    <row r="80" spans="1:86" x14ac:dyDescent="0.25">
      <c r="A80" s="14">
        <v>39</v>
      </c>
      <c r="B80" s="2" t="s">
        <v>42</v>
      </c>
      <c r="C80" s="22"/>
      <c r="D80" s="183"/>
      <c r="E80" s="16">
        <v>86</v>
      </c>
      <c r="F80" s="16"/>
      <c r="G80" s="17">
        <v>-2</v>
      </c>
      <c r="H80" s="17"/>
      <c r="I80" s="17">
        <v>-1</v>
      </c>
      <c r="J80" s="17"/>
      <c r="K80" s="136"/>
      <c r="L80" s="136"/>
      <c r="M80" s="136"/>
      <c r="N80" s="136"/>
      <c r="O80" s="136">
        <v>-6</v>
      </c>
      <c r="P80" s="136">
        <v>-1</v>
      </c>
      <c r="Q80" s="183">
        <v>-1</v>
      </c>
      <c r="R80" s="183"/>
      <c r="S80" s="183"/>
      <c r="T80" s="183">
        <v>-2</v>
      </c>
      <c r="U80" s="183"/>
      <c r="V80" s="183"/>
      <c r="W80" s="183"/>
      <c r="X80" s="18">
        <v>82</v>
      </c>
      <c r="Y80" s="18">
        <v>3</v>
      </c>
      <c r="Z80" s="19">
        <v>1</v>
      </c>
      <c r="AA80" s="19">
        <v>2</v>
      </c>
      <c r="AB80" s="19">
        <v>3</v>
      </c>
      <c r="AC80" s="19"/>
      <c r="AD80" s="130">
        <v>10</v>
      </c>
      <c r="AE80" s="130">
        <v>13</v>
      </c>
      <c r="AF80" s="130">
        <v>2</v>
      </c>
      <c r="AG80" s="130">
        <v>2</v>
      </c>
      <c r="AH80" s="185">
        <v>7</v>
      </c>
      <c r="AI80" s="185">
        <v>1</v>
      </c>
      <c r="AJ80" s="185">
        <v>3</v>
      </c>
      <c r="AK80" s="185">
        <v>5</v>
      </c>
      <c r="AL80" s="185">
        <v>2</v>
      </c>
      <c r="AM80" s="185">
        <v>8</v>
      </c>
      <c r="AN80" s="185">
        <v>1</v>
      </c>
      <c r="AO80" s="185"/>
      <c r="AP80" s="185">
        <v>1</v>
      </c>
      <c r="AQ80" s="185">
        <v>1</v>
      </c>
      <c r="AR80" s="169">
        <v>0</v>
      </c>
      <c r="AS80" s="169">
        <v>1</v>
      </c>
      <c r="AT80" s="169">
        <v>2</v>
      </c>
      <c r="AU80" s="185">
        <v>1</v>
      </c>
      <c r="AV80" s="169">
        <v>0</v>
      </c>
      <c r="AW80" s="185">
        <v>0</v>
      </c>
      <c r="AX80" s="225">
        <v>0</v>
      </c>
      <c r="AY80" s="185">
        <v>138</v>
      </c>
      <c r="AZ80" s="131">
        <v>1</v>
      </c>
      <c r="BA80" s="131">
        <v>4</v>
      </c>
      <c r="BB80" s="130"/>
      <c r="BC80" s="130"/>
      <c r="BD80" s="130">
        <v>-1</v>
      </c>
      <c r="BE80" s="130"/>
      <c r="BF80" s="130"/>
      <c r="BG80" s="130">
        <v>5</v>
      </c>
      <c r="BH80" s="130">
        <v>2</v>
      </c>
      <c r="BI80" s="130">
        <v>1</v>
      </c>
      <c r="BJ80" s="185"/>
      <c r="BK80" s="185">
        <v>1</v>
      </c>
      <c r="BL80" s="185"/>
      <c r="BM80" s="185"/>
      <c r="BN80" s="185"/>
      <c r="BO80" s="185">
        <v>1</v>
      </c>
      <c r="BP80" s="185"/>
      <c r="BQ80" s="185"/>
      <c r="BR80" s="185"/>
      <c r="BS80" s="185"/>
      <c r="BT80" s="185"/>
      <c r="BU80" s="185"/>
      <c r="BV80" s="185"/>
      <c r="BW80" s="185"/>
      <c r="BX80" s="185"/>
      <c r="BY80" s="185"/>
      <c r="BZ80" s="225"/>
      <c r="CA80" s="185">
        <v>0</v>
      </c>
      <c r="CB80" s="130">
        <v>13</v>
      </c>
      <c r="CC80" s="130">
        <v>0</v>
      </c>
      <c r="CD80" s="130">
        <v>151</v>
      </c>
      <c r="CE80" s="130">
        <v>1</v>
      </c>
      <c r="CF80" s="130">
        <v>139</v>
      </c>
      <c r="CG80" s="130">
        <v>13</v>
      </c>
      <c r="CH80" s="220">
        <f>+CF80+CG80</f>
        <v>152</v>
      </c>
    </row>
    <row r="81" spans="1:86" x14ac:dyDescent="0.25">
      <c r="A81" s="14">
        <v>3</v>
      </c>
      <c r="B81" s="2" t="s">
        <v>7</v>
      </c>
      <c r="C81" s="22"/>
      <c r="D81" s="183"/>
      <c r="E81" s="16">
        <v>59</v>
      </c>
      <c r="F81" s="16"/>
      <c r="G81" s="17"/>
      <c r="H81" s="17"/>
      <c r="I81" s="17">
        <v>-1</v>
      </c>
      <c r="J81" s="17">
        <v>-1</v>
      </c>
      <c r="K81" s="136"/>
      <c r="L81" s="136"/>
      <c r="M81" s="136"/>
      <c r="N81" s="136"/>
      <c r="O81" s="136"/>
      <c r="P81" s="136"/>
      <c r="Q81" s="183"/>
      <c r="R81" s="183"/>
      <c r="S81" s="183"/>
      <c r="T81" s="183"/>
      <c r="U81" s="183"/>
      <c r="V81" s="183"/>
      <c r="W81" s="183"/>
      <c r="X81" s="18">
        <v>58</v>
      </c>
      <c r="Y81" s="18">
        <v>1</v>
      </c>
      <c r="Z81" s="19">
        <v>8</v>
      </c>
      <c r="AA81" s="19"/>
      <c r="AB81" s="19">
        <v>10</v>
      </c>
      <c r="AC81" s="19">
        <v>11</v>
      </c>
      <c r="AD81" s="130">
        <v>4</v>
      </c>
      <c r="AE81" s="130">
        <v>3</v>
      </c>
      <c r="AF81" s="130"/>
      <c r="AG81" s="130">
        <v>5</v>
      </c>
      <c r="AH81" s="185">
        <v>5</v>
      </c>
      <c r="AI81" s="185">
        <v>6</v>
      </c>
      <c r="AJ81" s="185">
        <v>9</v>
      </c>
      <c r="AK81" s="185">
        <v>1</v>
      </c>
      <c r="AL81" s="185">
        <v>3</v>
      </c>
      <c r="AM81" s="185">
        <v>1</v>
      </c>
      <c r="AN81" s="185">
        <v>2</v>
      </c>
      <c r="AO81" s="185">
        <v>9</v>
      </c>
      <c r="AP81" s="185">
        <v>1</v>
      </c>
      <c r="AQ81" s="185">
        <v>2</v>
      </c>
      <c r="AR81" s="185">
        <v>3</v>
      </c>
      <c r="AS81" s="185">
        <v>0</v>
      </c>
      <c r="AT81" s="185">
        <v>0</v>
      </c>
      <c r="AU81" s="185">
        <v>1</v>
      </c>
      <c r="AV81" s="185">
        <v>0</v>
      </c>
      <c r="AW81" s="185">
        <v>0</v>
      </c>
      <c r="AX81" s="132">
        <v>6</v>
      </c>
      <c r="AY81" s="185">
        <v>147</v>
      </c>
      <c r="AZ81" s="131">
        <v>1</v>
      </c>
      <c r="BA81" s="131">
        <v>2</v>
      </c>
      <c r="BB81" s="130"/>
      <c r="BC81" s="130"/>
      <c r="BD81" s="130"/>
      <c r="BE81" s="130"/>
      <c r="BF81" s="130"/>
      <c r="BG81" s="130"/>
      <c r="BH81" s="130"/>
      <c r="BI81" s="130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  <c r="BY81" s="185"/>
      <c r="BZ81" s="132"/>
      <c r="CA81" s="185">
        <v>0</v>
      </c>
      <c r="CB81" s="130">
        <v>2</v>
      </c>
      <c r="CC81" s="130">
        <v>0</v>
      </c>
      <c r="CD81" s="130">
        <v>149</v>
      </c>
      <c r="CE81" s="130">
        <v>1</v>
      </c>
      <c r="CF81" s="130">
        <v>148</v>
      </c>
      <c r="CG81" s="130">
        <v>2</v>
      </c>
      <c r="CH81" s="220">
        <f>+CF81+CG81</f>
        <v>150</v>
      </c>
    </row>
    <row r="82" spans="1:86" x14ac:dyDescent="0.25">
      <c r="A82" s="14">
        <v>55</v>
      </c>
      <c r="B82" s="2" t="s">
        <v>58</v>
      </c>
      <c r="C82" s="15"/>
      <c r="D82" s="183"/>
      <c r="E82" s="16">
        <v>78</v>
      </c>
      <c r="F82" s="16"/>
      <c r="G82" s="17"/>
      <c r="H82" s="17">
        <v>-1</v>
      </c>
      <c r="I82" s="17"/>
      <c r="J82" s="17"/>
      <c r="K82" s="136"/>
      <c r="L82" s="136"/>
      <c r="M82" s="136"/>
      <c r="N82" s="136">
        <v>-1</v>
      </c>
      <c r="O82" s="136"/>
      <c r="P82" s="136"/>
      <c r="Q82" s="183"/>
      <c r="R82" s="183"/>
      <c r="S82" s="183"/>
      <c r="T82" s="183"/>
      <c r="U82" s="183"/>
      <c r="V82" s="183"/>
      <c r="W82" s="183"/>
      <c r="X82" s="18">
        <v>78</v>
      </c>
      <c r="Y82" s="18"/>
      <c r="Z82" s="19">
        <v>4</v>
      </c>
      <c r="AA82" s="19">
        <v>5</v>
      </c>
      <c r="AB82" s="19">
        <v>1</v>
      </c>
      <c r="AC82" s="19">
        <v>11</v>
      </c>
      <c r="AD82" s="130"/>
      <c r="AE82" s="130">
        <v>5</v>
      </c>
      <c r="AF82" s="130"/>
      <c r="AG82" s="130">
        <v>2</v>
      </c>
      <c r="AH82" s="185"/>
      <c r="AI82" s="185">
        <v>2</v>
      </c>
      <c r="AJ82" s="185"/>
      <c r="AK82" s="185">
        <v>9</v>
      </c>
      <c r="AL82" s="185">
        <v>5</v>
      </c>
      <c r="AM82" s="185"/>
      <c r="AN82" s="185"/>
      <c r="AO82" s="185">
        <v>4</v>
      </c>
      <c r="AP82" s="185">
        <v>8</v>
      </c>
      <c r="AQ82" s="185">
        <v>2</v>
      </c>
      <c r="AR82" s="185"/>
      <c r="AS82" s="169">
        <v>5</v>
      </c>
      <c r="AT82" s="185"/>
      <c r="AU82" s="185">
        <v>1</v>
      </c>
      <c r="AV82" s="185">
        <v>1</v>
      </c>
      <c r="AW82" s="185"/>
      <c r="AX82" s="132">
        <v>0</v>
      </c>
      <c r="AY82" s="185">
        <v>141</v>
      </c>
      <c r="AZ82" s="131">
        <v>1</v>
      </c>
      <c r="BA82" s="131">
        <v>1</v>
      </c>
      <c r="BB82" s="130"/>
      <c r="BC82" s="130"/>
      <c r="BD82" s="130"/>
      <c r="BE82" s="130"/>
      <c r="BF82" s="130"/>
      <c r="BG82" s="130"/>
      <c r="BH82" s="130"/>
      <c r="BI82" s="130"/>
      <c r="BJ82" s="185">
        <v>1</v>
      </c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32"/>
      <c r="CA82" s="185"/>
      <c r="CB82" s="130">
        <v>2</v>
      </c>
      <c r="CC82" s="130">
        <v>0</v>
      </c>
      <c r="CD82" s="130">
        <v>143</v>
      </c>
      <c r="CE82" s="130">
        <v>1</v>
      </c>
      <c r="CF82" s="130">
        <v>142</v>
      </c>
      <c r="CG82" s="130">
        <v>2</v>
      </c>
      <c r="CH82" s="220">
        <f>+CF82+CG82</f>
        <v>144</v>
      </c>
    </row>
    <row r="83" spans="1:86" x14ac:dyDescent="0.25">
      <c r="A83" s="14">
        <v>92</v>
      </c>
      <c r="B83" s="2" t="s">
        <v>95</v>
      </c>
      <c r="C83" s="22"/>
      <c r="D83" s="183"/>
      <c r="E83" s="16">
        <v>25</v>
      </c>
      <c r="F83" s="16"/>
      <c r="G83" s="17"/>
      <c r="H83" s="17">
        <v>-2</v>
      </c>
      <c r="I83" s="17"/>
      <c r="J83" s="17">
        <v>-2</v>
      </c>
      <c r="K83" s="136"/>
      <c r="L83" s="136">
        <v>-1</v>
      </c>
      <c r="M83" s="136">
        <v>-1</v>
      </c>
      <c r="N83" s="136"/>
      <c r="O83" s="136"/>
      <c r="P83" s="136"/>
      <c r="Q83" s="183"/>
      <c r="R83" s="183"/>
      <c r="S83" s="183"/>
      <c r="T83" s="183"/>
      <c r="U83" s="183"/>
      <c r="V83" s="183"/>
      <c r="W83" s="183"/>
      <c r="X83" s="18">
        <v>25</v>
      </c>
      <c r="Y83" s="18"/>
      <c r="Z83" s="19">
        <v>9</v>
      </c>
      <c r="AA83" s="19">
        <v>3</v>
      </c>
      <c r="AB83" s="19">
        <v>5</v>
      </c>
      <c r="AC83" s="19">
        <v>4</v>
      </c>
      <c r="AD83" s="130">
        <v>5</v>
      </c>
      <c r="AE83" s="130">
        <v>8</v>
      </c>
      <c r="AF83" s="130">
        <v>9</v>
      </c>
      <c r="AG83" s="130">
        <v>4</v>
      </c>
      <c r="AH83" s="185">
        <v>11</v>
      </c>
      <c r="AI83" s="185">
        <v>17</v>
      </c>
      <c r="AJ83" s="185">
        <v>9</v>
      </c>
      <c r="AK83" s="185">
        <v>3</v>
      </c>
      <c r="AL83" s="185">
        <v>7</v>
      </c>
      <c r="AM83" s="185">
        <v>1</v>
      </c>
      <c r="AN83" s="185">
        <v>3</v>
      </c>
      <c r="AO83" s="185">
        <v>1</v>
      </c>
      <c r="AP83" s="185">
        <v>1</v>
      </c>
      <c r="AQ83" s="185">
        <v>3</v>
      </c>
      <c r="AR83" s="185">
        <v>-1</v>
      </c>
      <c r="AS83" s="185">
        <v>2</v>
      </c>
      <c r="AT83" s="185">
        <v>1</v>
      </c>
      <c r="AU83" s="185">
        <v>1</v>
      </c>
      <c r="AV83" s="185">
        <v>1</v>
      </c>
      <c r="AW83" s="185"/>
      <c r="AX83" s="132">
        <v>1</v>
      </c>
      <c r="AY83" s="185">
        <v>127</v>
      </c>
      <c r="AZ83" s="131">
        <v>2</v>
      </c>
      <c r="BA83" s="131">
        <v>3</v>
      </c>
      <c r="BB83" s="130"/>
      <c r="BC83" s="130"/>
      <c r="BD83" s="130"/>
      <c r="BE83" s="130">
        <v>0</v>
      </c>
      <c r="BF83" s="130">
        <v>1</v>
      </c>
      <c r="BG83" s="130">
        <v>-1</v>
      </c>
      <c r="BH83" s="130">
        <v>1</v>
      </c>
      <c r="BI83" s="130"/>
      <c r="BJ83" s="185"/>
      <c r="BK83" s="185">
        <v>3</v>
      </c>
      <c r="BL83" s="185">
        <v>1</v>
      </c>
      <c r="BM83" s="185">
        <v>1</v>
      </c>
      <c r="BN83" s="185">
        <v>2</v>
      </c>
      <c r="BO83" s="185"/>
      <c r="BP83" s="185"/>
      <c r="BQ83" s="185"/>
      <c r="BR83" s="185">
        <v>1</v>
      </c>
      <c r="BS83" s="185"/>
      <c r="BT83" s="185"/>
      <c r="BU83" s="185">
        <v>1</v>
      </c>
      <c r="BV83" s="185"/>
      <c r="BW83" s="185">
        <v>1</v>
      </c>
      <c r="BX83" s="185"/>
      <c r="BY83" s="185"/>
      <c r="BZ83" s="132"/>
      <c r="CA83" s="185"/>
      <c r="CB83" s="130">
        <v>14</v>
      </c>
      <c r="CC83" s="130">
        <v>0</v>
      </c>
      <c r="CD83" s="130">
        <v>141</v>
      </c>
      <c r="CE83" s="130">
        <v>2</v>
      </c>
      <c r="CF83" s="130">
        <v>129</v>
      </c>
      <c r="CG83" s="130">
        <v>14</v>
      </c>
      <c r="CH83" s="220">
        <f>+CF83+CG83</f>
        <v>143</v>
      </c>
    </row>
    <row r="84" spans="1:86" x14ac:dyDescent="0.25">
      <c r="A84" s="14">
        <v>47</v>
      </c>
      <c r="B84" s="2" t="s">
        <v>50</v>
      </c>
      <c r="C84" s="15"/>
      <c r="D84" s="183"/>
      <c r="E84" s="16">
        <v>42</v>
      </c>
      <c r="F84" s="16"/>
      <c r="G84" s="17"/>
      <c r="H84" s="17"/>
      <c r="I84" s="17"/>
      <c r="J84" s="17"/>
      <c r="K84" s="136"/>
      <c r="L84" s="136"/>
      <c r="M84" s="136"/>
      <c r="N84" s="136"/>
      <c r="O84" s="136"/>
      <c r="P84" s="136"/>
      <c r="Q84" s="183"/>
      <c r="R84" s="183"/>
      <c r="S84" s="183"/>
      <c r="T84" s="183"/>
      <c r="U84" s="183"/>
      <c r="V84" s="183"/>
      <c r="W84" s="183"/>
      <c r="X84" s="18">
        <v>41</v>
      </c>
      <c r="Y84" s="18"/>
      <c r="Z84" s="19">
        <v>4</v>
      </c>
      <c r="AA84" s="19">
        <v>2</v>
      </c>
      <c r="AB84" s="19">
        <v>9</v>
      </c>
      <c r="AC84" s="19"/>
      <c r="AD84" s="130"/>
      <c r="AE84" s="130"/>
      <c r="AF84" s="130">
        <v>4</v>
      </c>
      <c r="AG84" s="130"/>
      <c r="AH84" s="185">
        <v>2</v>
      </c>
      <c r="AI84" s="185">
        <v>4</v>
      </c>
      <c r="AJ84" s="185"/>
      <c r="AK84" s="185">
        <v>24</v>
      </c>
      <c r="AL84" s="185">
        <v>4</v>
      </c>
      <c r="AM84" s="185">
        <v>14</v>
      </c>
      <c r="AN84" s="185">
        <v>2</v>
      </c>
      <c r="AO84" s="185">
        <v>1</v>
      </c>
      <c r="AP84" s="185">
        <v>12</v>
      </c>
      <c r="AQ84" s="185">
        <v>3</v>
      </c>
      <c r="AR84" s="185">
        <v>1</v>
      </c>
      <c r="AS84" s="169">
        <v>2</v>
      </c>
      <c r="AT84" s="185">
        <v>1</v>
      </c>
      <c r="AU84" s="169">
        <v>0</v>
      </c>
      <c r="AV84" s="185">
        <v>0</v>
      </c>
      <c r="AW84" s="169">
        <v>0</v>
      </c>
      <c r="AX84" s="132">
        <v>1</v>
      </c>
      <c r="AY84" s="185">
        <v>131</v>
      </c>
      <c r="AZ84" s="131">
        <v>0</v>
      </c>
      <c r="BA84" s="131">
        <v>1</v>
      </c>
      <c r="BB84" s="130"/>
      <c r="BC84" s="130">
        <v>1</v>
      </c>
      <c r="BD84" s="130">
        <v>-1</v>
      </c>
      <c r="BE84" s="130"/>
      <c r="BF84" s="130"/>
      <c r="BG84" s="130"/>
      <c r="BH84" s="130"/>
      <c r="BI84" s="130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32">
        <v>2</v>
      </c>
      <c r="CA84" s="185">
        <v>0</v>
      </c>
      <c r="CB84" s="130">
        <v>3</v>
      </c>
      <c r="CC84" s="130">
        <v>1</v>
      </c>
      <c r="CD84" s="130">
        <v>134</v>
      </c>
      <c r="CE84" s="130">
        <v>1</v>
      </c>
      <c r="CF84" s="130">
        <v>131</v>
      </c>
      <c r="CG84" s="130">
        <v>4</v>
      </c>
      <c r="CH84" s="220">
        <f>+CF84+CG84</f>
        <v>135</v>
      </c>
    </row>
    <row r="85" spans="1:86" x14ac:dyDescent="0.25">
      <c r="A85" s="14">
        <v>70</v>
      </c>
      <c r="B85" s="2" t="s">
        <v>73</v>
      </c>
      <c r="C85" s="22"/>
      <c r="D85" s="183"/>
      <c r="E85" s="16">
        <v>70</v>
      </c>
      <c r="F85" s="16"/>
      <c r="G85" s="17"/>
      <c r="H85" s="17"/>
      <c r="I85" s="17"/>
      <c r="J85" s="17">
        <v>-1</v>
      </c>
      <c r="K85" s="136">
        <v>-1</v>
      </c>
      <c r="L85" s="136"/>
      <c r="M85" s="136"/>
      <c r="N85" s="136"/>
      <c r="O85" s="136"/>
      <c r="P85" s="136"/>
      <c r="Q85" s="183"/>
      <c r="R85" s="183"/>
      <c r="S85" s="183"/>
      <c r="T85" s="183"/>
      <c r="U85" s="183"/>
      <c r="V85" s="183"/>
      <c r="W85" s="183"/>
      <c r="X85" s="18">
        <v>70</v>
      </c>
      <c r="Y85" s="18"/>
      <c r="Z85" s="19"/>
      <c r="AA85" s="19"/>
      <c r="AB85" s="19">
        <v>4</v>
      </c>
      <c r="AC85" s="130">
        <v>7</v>
      </c>
      <c r="AD85" s="130">
        <v>9</v>
      </c>
      <c r="AE85" s="130">
        <v>3</v>
      </c>
      <c r="AF85" s="130"/>
      <c r="AG85" s="130"/>
      <c r="AH85" s="185"/>
      <c r="AI85" s="185">
        <v>1</v>
      </c>
      <c r="AJ85" s="185">
        <v>2</v>
      </c>
      <c r="AK85" s="185">
        <v>2</v>
      </c>
      <c r="AL85" s="185">
        <v>3</v>
      </c>
      <c r="AM85" s="185"/>
      <c r="AN85" s="185">
        <v>1</v>
      </c>
      <c r="AO85" s="185"/>
      <c r="AP85" s="185">
        <v>5</v>
      </c>
      <c r="AQ85" s="185">
        <v>11</v>
      </c>
      <c r="AR85" s="185">
        <v>2</v>
      </c>
      <c r="AS85" s="185">
        <v>2</v>
      </c>
      <c r="AT85" s="185">
        <v>2</v>
      </c>
      <c r="AU85" s="185">
        <v>1</v>
      </c>
      <c r="AV85" s="185">
        <v>1</v>
      </c>
      <c r="AW85" s="185">
        <v>3</v>
      </c>
      <c r="AX85" s="132">
        <v>0</v>
      </c>
      <c r="AY85" s="185">
        <v>127</v>
      </c>
      <c r="AZ85" s="131">
        <v>2</v>
      </c>
      <c r="BA85" s="131"/>
      <c r="BB85" s="130"/>
      <c r="BC85" s="130"/>
      <c r="BD85" s="130"/>
      <c r="BE85" s="130"/>
      <c r="BF85" s="130"/>
      <c r="BG85" s="130"/>
      <c r="BH85" s="130"/>
      <c r="BI85" s="130"/>
      <c r="BJ85" s="185"/>
      <c r="BK85" s="185"/>
      <c r="BL85" s="185"/>
      <c r="BM85" s="185"/>
      <c r="BN85" s="185"/>
      <c r="BO85" s="185"/>
      <c r="BP85" s="185"/>
      <c r="BQ85" s="185"/>
      <c r="BR85" s="185">
        <v>1</v>
      </c>
      <c r="BS85" s="185"/>
      <c r="BT85" s="185"/>
      <c r="BU85" s="185"/>
      <c r="BV85" s="185">
        <v>0</v>
      </c>
      <c r="BW85" s="185">
        <v>1</v>
      </c>
      <c r="BX85" s="185"/>
      <c r="BY85" s="185"/>
      <c r="BZ85" s="132">
        <v>1</v>
      </c>
      <c r="CA85" s="185"/>
      <c r="CB85" s="130">
        <v>3</v>
      </c>
      <c r="CC85" s="130">
        <v>0</v>
      </c>
      <c r="CD85" s="130">
        <v>130</v>
      </c>
      <c r="CE85" s="130">
        <v>2</v>
      </c>
      <c r="CF85" s="130">
        <v>129</v>
      </c>
      <c r="CG85" s="130">
        <v>3</v>
      </c>
      <c r="CH85" s="220">
        <f>+CF85+CG85</f>
        <v>132</v>
      </c>
    </row>
    <row r="86" spans="1:86" x14ac:dyDescent="0.25">
      <c r="A86" s="14">
        <v>53</v>
      </c>
      <c r="B86" s="2" t="s">
        <v>56</v>
      </c>
      <c r="C86" s="22"/>
      <c r="D86" s="183"/>
      <c r="E86" s="16">
        <v>94</v>
      </c>
      <c r="F86" s="16"/>
      <c r="G86" s="17"/>
      <c r="H86" s="17"/>
      <c r="I86" s="17">
        <v>-1</v>
      </c>
      <c r="J86" s="17">
        <v>-1</v>
      </c>
      <c r="K86" s="136"/>
      <c r="L86" s="136"/>
      <c r="M86" s="136"/>
      <c r="N86" s="136"/>
      <c r="O86" s="136"/>
      <c r="P86" s="136"/>
      <c r="Q86" s="183"/>
      <c r="R86" s="183">
        <v>-1</v>
      </c>
      <c r="S86" s="183"/>
      <c r="T86" s="183"/>
      <c r="U86" s="183"/>
      <c r="V86" s="183"/>
      <c r="W86" s="183">
        <v>-1</v>
      </c>
      <c r="X86" s="18">
        <v>83</v>
      </c>
      <c r="Y86" s="18">
        <v>3</v>
      </c>
      <c r="Z86" s="19"/>
      <c r="AA86" s="19">
        <v>10</v>
      </c>
      <c r="AB86" s="19">
        <v>1</v>
      </c>
      <c r="AC86" s="19">
        <v>2</v>
      </c>
      <c r="AD86" s="130">
        <v>1</v>
      </c>
      <c r="AE86" s="130">
        <v>2</v>
      </c>
      <c r="AF86" s="130"/>
      <c r="AG86" s="130">
        <v>1</v>
      </c>
      <c r="AH86" s="185"/>
      <c r="AI86" s="185">
        <v>1</v>
      </c>
      <c r="AJ86" s="185"/>
      <c r="AK86" s="185">
        <v>4</v>
      </c>
      <c r="AL86" s="185">
        <v>4</v>
      </c>
      <c r="AM86" s="185"/>
      <c r="AN86" s="169"/>
      <c r="AO86" s="185"/>
      <c r="AP86" s="185">
        <v>3</v>
      </c>
      <c r="AQ86" s="185">
        <v>5</v>
      </c>
      <c r="AR86" s="185">
        <v>2</v>
      </c>
      <c r="AS86" s="185">
        <v>1</v>
      </c>
      <c r="AT86" s="185">
        <v>2</v>
      </c>
      <c r="AU86" s="185">
        <v>2</v>
      </c>
      <c r="AV86" s="185"/>
      <c r="AW86" s="185"/>
      <c r="AX86" s="132">
        <v>0</v>
      </c>
      <c r="AY86" s="185">
        <v>123</v>
      </c>
      <c r="AZ86" s="131">
        <v>0</v>
      </c>
      <c r="BA86" s="131">
        <v>12</v>
      </c>
      <c r="BB86" s="130"/>
      <c r="BC86" s="130"/>
      <c r="BD86" s="130">
        <v>-10</v>
      </c>
      <c r="BE86" s="130">
        <v>1</v>
      </c>
      <c r="BF86" s="130"/>
      <c r="BG86" s="130"/>
      <c r="BH86" s="130"/>
      <c r="BI86" s="130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185"/>
      <c r="BX86" s="185"/>
      <c r="BY86" s="185">
        <v>1</v>
      </c>
      <c r="BZ86" s="132"/>
      <c r="CA86" s="185"/>
      <c r="CB86" s="130">
        <v>4</v>
      </c>
      <c r="CC86" s="130">
        <v>0</v>
      </c>
      <c r="CD86" s="130">
        <v>127</v>
      </c>
      <c r="CE86" s="130">
        <v>0</v>
      </c>
      <c r="CF86" s="130">
        <v>123</v>
      </c>
      <c r="CG86" s="130">
        <v>4</v>
      </c>
      <c r="CH86" s="220">
        <f>+CF86+CG86</f>
        <v>127</v>
      </c>
    </row>
    <row r="87" spans="1:86" x14ac:dyDescent="0.25">
      <c r="A87" s="14">
        <v>58</v>
      </c>
      <c r="B87" s="2" t="s">
        <v>61</v>
      </c>
      <c r="C87" s="22"/>
      <c r="D87" s="183"/>
      <c r="E87" s="16">
        <v>41</v>
      </c>
      <c r="F87" s="16"/>
      <c r="G87" s="17"/>
      <c r="H87" s="17"/>
      <c r="I87" s="17"/>
      <c r="J87" s="17"/>
      <c r="K87" s="136"/>
      <c r="L87" s="136">
        <v>-1</v>
      </c>
      <c r="M87" s="136">
        <v>-1</v>
      </c>
      <c r="N87" s="136"/>
      <c r="O87" s="136">
        <v>-2</v>
      </c>
      <c r="P87" s="136"/>
      <c r="Q87" s="183"/>
      <c r="R87" s="183"/>
      <c r="S87" s="183"/>
      <c r="T87" s="183"/>
      <c r="U87" s="183"/>
      <c r="V87" s="183"/>
      <c r="W87" s="183"/>
      <c r="X87" s="18">
        <v>42</v>
      </c>
      <c r="Y87" s="18">
        <v>1</v>
      </c>
      <c r="Z87" s="19">
        <v>1</v>
      </c>
      <c r="AA87" s="19">
        <v>1</v>
      </c>
      <c r="AB87" s="19">
        <v>16</v>
      </c>
      <c r="AC87" s="19">
        <v>7</v>
      </c>
      <c r="AD87" s="130"/>
      <c r="AE87" s="130">
        <v>3</v>
      </c>
      <c r="AF87" s="130"/>
      <c r="AG87" s="130">
        <v>3</v>
      </c>
      <c r="AH87" s="185">
        <v>1</v>
      </c>
      <c r="AI87" s="185">
        <v>1</v>
      </c>
      <c r="AJ87" s="185">
        <v>4</v>
      </c>
      <c r="AK87" s="185">
        <v>2</v>
      </c>
      <c r="AL87" s="185">
        <v>2</v>
      </c>
      <c r="AM87" s="185">
        <v>1</v>
      </c>
      <c r="AN87" s="169">
        <v>1</v>
      </c>
      <c r="AO87" s="185"/>
      <c r="AP87" s="185">
        <v>1</v>
      </c>
      <c r="AQ87" s="185">
        <v>3</v>
      </c>
      <c r="AR87" s="185">
        <v>4</v>
      </c>
      <c r="AS87" s="185">
        <v>13</v>
      </c>
      <c r="AT87" s="185">
        <v>2</v>
      </c>
      <c r="AU87" s="185">
        <v>15</v>
      </c>
      <c r="AV87" s="169">
        <v>1</v>
      </c>
      <c r="AW87" s="185">
        <v>1</v>
      </c>
      <c r="AX87" s="132">
        <v>1</v>
      </c>
      <c r="AY87" s="185">
        <v>123</v>
      </c>
      <c r="AZ87" s="131">
        <v>2</v>
      </c>
      <c r="BA87" s="131">
        <v>1</v>
      </c>
      <c r="BB87" s="130"/>
      <c r="BC87" s="130"/>
      <c r="BD87" s="130"/>
      <c r="BE87" s="130">
        <v>10</v>
      </c>
      <c r="BF87" s="130"/>
      <c r="BG87" s="130"/>
      <c r="BH87" s="130"/>
      <c r="BI87" s="130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>
        <v>-10</v>
      </c>
      <c r="BW87" s="185"/>
      <c r="BX87" s="185"/>
      <c r="BY87" s="185"/>
      <c r="BZ87" s="132"/>
      <c r="CA87" s="185"/>
      <c r="CB87" s="130">
        <v>1</v>
      </c>
      <c r="CC87" s="130">
        <v>0</v>
      </c>
      <c r="CD87" s="130">
        <v>124</v>
      </c>
      <c r="CE87" s="130">
        <v>2</v>
      </c>
      <c r="CF87" s="130">
        <v>125</v>
      </c>
      <c r="CG87" s="130">
        <v>1</v>
      </c>
      <c r="CH87" s="220">
        <f>+CF87+CG87</f>
        <v>126</v>
      </c>
    </row>
    <row r="88" spans="1:86" x14ac:dyDescent="0.25">
      <c r="A88" s="14">
        <v>45</v>
      </c>
      <c r="B88" s="2" t="s">
        <v>48</v>
      </c>
      <c r="C88" s="22"/>
      <c r="D88" s="183"/>
      <c r="E88" s="16">
        <v>52</v>
      </c>
      <c r="F88" s="16"/>
      <c r="G88" s="17"/>
      <c r="H88" s="17"/>
      <c r="I88" s="17">
        <v>-1</v>
      </c>
      <c r="J88" s="17"/>
      <c r="K88" s="136"/>
      <c r="L88" s="136"/>
      <c r="M88" s="136"/>
      <c r="N88" s="136"/>
      <c r="O88" s="136"/>
      <c r="P88" s="136"/>
      <c r="Q88" s="183">
        <v>-3</v>
      </c>
      <c r="R88" s="183"/>
      <c r="S88" s="183">
        <v>-1</v>
      </c>
      <c r="T88" s="183"/>
      <c r="U88" s="183"/>
      <c r="V88" s="183"/>
      <c r="W88" s="183"/>
      <c r="X88" s="18">
        <v>49</v>
      </c>
      <c r="Y88" s="18"/>
      <c r="Z88" s="19"/>
      <c r="AA88" s="19">
        <v>4</v>
      </c>
      <c r="AB88" s="19">
        <v>6</v>
      </c>
      <c r="AC88" s="19"/>
      <c r="AD88" s="130">
        <v>1</v>
      </c>
      <c r="AE88" s="130">
        <v>2</v>
      </c>
      <c r="AF88" s="130">
        <v>7</v>
      </c>
      <c r="AG88" s="130">
        <v>3</v>
      </c>
      <c r="AH88" s="185">
        <v>1</v>
      </c>
      <c r="AI88" s="185">
        <v>1</v>
      </c>
      <c r="AJ88" s="185">
        <v>10</v>
      </c>
      <c r="AK88" s="185">
        <v>1</v>
      </c>
      <c r="AL88" s="185">
        <v>6</v>
      </c>
      <c r="AM88" s="185">
        <v>2</v>
      </c>
      <c r="AN88" s="169">
        <v>2</v>
      </c>
      <c r="AO88" s="185">
        <v>2</v>
      </c>
      <c r="AP88" s="185"/>
      <c r="AQ88" s="185"/>
      <c r="AR88" s="169">
        <v>0</v>
      </c>
      <c r="AS88" s="185">
        <v>0</v>
      </c>
      <c r="AT88" s="169">
        <v>1</v>
      </c>
      <c r="AU88" s="169">
        <v>2</v>
      </c>
      <c r="AV88" s="185">
        <v>1</v>
      </c>
      <c r="AW88" s="169">
        <v>0</v>
      </c>
      <c r="AX88" s="132">
        <v>1</v>
      </c>
      <c r="AY88" s="185">
        <v>97</v>
      </c>
      <c r="AZ88" s="131">
        <v>1</v>
      </c>
      <c r="BA88" s="131">
        <v>6</v>
      </c>
      <c r="BB88" s="130"/>
      <c r="BC88" s="130"/>
      <c r="BD88" s="130">
        <v>-1</v>
      </c>
      <c r="BE88" s="130"/>
      <c r="BF88" s="130"/>
      <c r="BG88" s="130"/>
      <c r="BH88" s="130"/>
      <c r="BI88" s="130"/>
      <c r="BJ88" s="185"/>
      <c r="BK88" s="185"/>
      <c r="BL88" s="185"/>
      <c r="BM88" s="185">
        <v>1</v>
      </c>
      <c r="BN88" s="185"/>
      <c r="BO88" s="185">
        <v>1</v>
      </c>
      <c r="BP88" s="185"/>
      <c r="BQ88" s="185"/>
      <c r="BR88" s="185"/>
      <c r="BS88" s="185"/>
      <c r="BT88" s="185"/>
      <c r="BU88" s="185"/>
      <c r="BV88" s="185"/>
      <c r="BW88" s="185"/>
      <c r="BX88" s="185"/>
      <c r="BY88" s="185"/>
      <c r="BZ88" s="132"/>
      <c r="CA88" s="185">
        <v>0</v>
      </c>
      <c r="CB88" s="130">
        <v>7</v>
      </c>
      <c r="CC88" s="130">
        <v>2</v>
      </c>
      <c r="CD88" s="130">
        <v>104</v>
      </c>
      <c r="CE88" s="130">
        <v>3</v>
      </c>
      <c r="CF88" s="130">
        <v>98</v>
      </c>
      <c r="CG88" s="130">
        <v>9</v>
      </c>
      <c r="CH88" s="220">
        <f>+CF88+CG88</f>
        <v>107</v>
      </c>
    </row>
    <row r="89" spans="1:86" x14ac:dyDescent="0.25">
      <c r="A89" s="14">
        <v>43</v>
      </c>
      <c r="B89" s="2" t="s">
        <v>46</v>
      </c>
      <c r="C89" s="15"/>
      <c r="D89" s="183"/>
      <c r="E89" s="16">
        <v>22</v>
      </c>
      <c r="F89" s="16"/>
      <c r="G89" s="17">
        <v>-3</v>
      </c>
      <c r="H89" s="17"/>
      <c r="I89" s="17">
        <v>-1</v>
      </c>
      <c r="J89" s="17"/>
      <c r="K89" s="136"/>
      <c r="L89" s="136"/>
      <c r="M89" s="136"/>
      <c r="N89" s="136"/>
      <c r="O89" s="136"/>
      <c r="P89" s="136"/>
      <c r="Q89" s="183">
        <v>-1</v>
      </c>
      <c r="R89" s="183"/>
      <c r="S89" s="183">
        <v>-2</v>
      </c>
      <c r="T89" s="183">
        <v>-4</v>
      </c>
      <c r="U89" s="183">
        <v>-1</v>
      </c>
      <c r="V89" s="183"/>
      <c r="W89" s="183">
        <v>-1</v>
      </c>
      <c r="X89" s="18">
        <v>23</v>
      </c>
      <c r="Y89" s="18">
        <v>2</v>
      </c>
      <c r="Z89" s="19">
        <v>10</v>
      </c>
      <c r="AA89" s="19"/>
      <c r="AB89" s="19">
        <v>14</v>
      </c>
      <c r="AC89" s="19"/>
      <c r="AD89" s="130">
        <v>2</v>
      </c>
      <c r="AE89" s="130">
        <v>1</v>
      </c>
      <c r="AF89" s="130">
        <v>3</v>
      </c>
      <c r="AG89" s="130">
        <v>6</v>
      </c>
      <c r="AH89" s="185">
        <v>1</v>
      </c>
      <c r="AI89" s="185">
        <v>4</v>
      </c>
      <c r="AJ89" s="185">
        <v>2</v>
      </c>
      <c r="AK89" s="185">
        <v>5</v>
      </c>
      <c r="AL89" s="185">
        <v>6</v>
      </c>
      <c r="AM89" s="185">
        <v>9</v>
      </c>
      <c r="AN89" s="185">
        <v>9</v>
      </c>
      <c r="AO89" s="185">
        <v>4</v>
      </c>
      <c r="AP89" s="185">
        <v>3</v>
      </c>
      <c r="AQ89" s="185">
        <v>1</v>
      </c>
      <c r="AR89" s="185">
        <v>0</v>
      </c>
      <c r="AS89" s="169">
        <v>1</v>
      </c>
      <c r="AT89" s="169">
        <v>1</v>
      </c>
      <c r="AU89" s="169">
        <v>0</v>
      </c>
      <c r="AV89" s="169">
        <v>0</v>
      </c>
      <c r="AW89" s="169">
        <v>0</v>
      </c>
      <c r="AX89" s="132">
        <v>0</v>
      </c>
      <c r="AY89" s="185">
        <v>94</v>
      </c>
      <c r="AZ89" s="131">
        <v>0</v>
      </c>
      <c r="BA89" s="131"/>
      <c r="BB89" s="130"/>
      <c r="BC89" s="130"/>
      <c r="BD89" s="130"/>
      <c r="BE89" s="130"/>
      <c r="BF89" s="130"/>
      <c r="BG89" s="130"/>
      <c r="BH89" s="130"/>
      <c r="BI89" s="130"/>
      <c r="BJ89" s="185"/>
      <c r="BK89" s="185"/>
      <c r="BL89" s="185"/>
      <c r="BM89" s="185"/>
      <c r="BN89" s="185"/>
      <c r="BO89" s="185"/>
      <c r="BP89" s="185"/>
      <c r="BQ89" s="185"/>
      <c r="BR89" s="185">
        <v>1</v>
      </c>
      <c r="BS89" s="185"/>
      <c r="BT89" s="185"/>
      <c r="BU89" s="185"/>
      <c r="BV89" s="228"/>
      <c r="BW89" s="185"/>
      <c r="BX89" s="185"/>
      <c r="BY89" s="185"/>
      <c r="BZ89" s="132"/>
      <c r="CA89" s="185">
        <v>0</v>
      </c>
      <c r="CB89" s="130">
        <v>1</v>
      </c>
      <c r="CC89" s="130">
        <v>0</v>
      </c>
      <c r="CD89" s="130">
        <v>95</v>
      </c>
      <c r="CE89" s="130">
        <v>0</v>
      </c>
      <c r="CF89" s="130">
        <v>94</v>
      </c>
      <c r="CG89" s="130">
        <v>1</v>
      </c>
      <c r="CH89" s="220">
        <f>+CF89+CG89</f>
        <v>95</v>
      </c>
    </row>
    <row r="90" spans="1:86" x14ac:dyDescent="0.25">
      <c r="A90" s="14">
        <v>59</v>
      </c>
      <c r="B90" s="2" t="s">
        <v>62</v>
      </c>
      <c r="C90" s="15"/>
      <c r="D90" s="183"/>
      <c r="E90" s="16">
        <v>29</v>
      </c>
      <c r="F90" s="16"/>
      <c r="G90" s="17"/>
      <c r="H90" s="17"/>
      <c r="I90" s="17"/>
      <c r="J90" s="17"/>
      <c r="K90" s="136"/>
      <c r="L90" s="136"/>
      <c r="M90" s="136"/>
      <c r="N90" s="136"/>
      <c r="O90" s="136"/>
      <c r="P90" s="136"/>
      <c r="Q90" s="183"/>
      <c r="R90" s="183"/>
      <c r="S90" s="183"/>
      <c r="T90" s="183"/>
      <c r="U90" s="183"/>
      <c r="V90" s="183">
        <v>-1</v>
      </c>
      <c r="W90" s="183">
        <v>-2</v>
      </c>
      <c r="X90" s="18">
        <v>28</v>
      </c>
      <c r="Y90" s="18">
        <v>1</v>
      </c>
      <c r="Z90" s="19">
        <v>-1</v>
      </c>
      <c r="AA90" s="19">
        <v>5</v>
      </c>
      <c r="AB90" s="19">
        <v>9</v>
      </c>
      <c r="AC90" s="170">
        <v>8</v>
      </c>
      <c r="AD90" s="130">
        <v>1</v>
      </c>
      <c r="AE90" s="130">
        <v>2</v>
      </c>
      <c r="AF90" s="130">
        <v>3</v>
      </c>
      <c r="AG90" s="130">
        <v>2</v>
      </c>
      <c r="AH90" s="185">
        <v>3</v>
      </c>
      <c r="AI90" s="185">
        <v>2</v>
      </c>
      <c r="AJ90" s="185"/>
      <c r="AK90" s="185">
        <v>1</v>
      </c>
      <c r="AL90" s="185">
        <v>1</v>
      </c>
      <c r="AM90" s="185"/>
      <c r="AN90" s="169"/>
      <c r="AO90" s="185">
        <v>2</v>
      </c>
      <c r="AP90" s="185">
        <v>8</v>
      </c>
      <c r="AQ90" s="185">
        <v>2</v>
      </c>
      <c r="AR90" s="185">
        <v>3</v>
      </c>
      <c r="AS90" s="185">
        <v>1</v>
      </c>
      <c r="AT90" s="185">
        <v>1</v>
      </c>
      <c r="AU90" s="169">
        <v>2</v>
      </c>
      <c r="AV90" s="185">
        <v>1</v>
      </c>
      <c r="AW90" s="185"/>
      <c r="AX90" s="132">
        <v>1</v>
      </c>
      <c r="AY90" s="185">
        <v>83</v>
      </c>
      <c r="AZ90" s="131">
        <v>0</v>
      </c>
      <c r="BA90" s="131">
        <v>2</v>
      </c>
      <c r="BB90" s="130"/>
      <c r="BC90" s="130">
        <v>1</v>
      </c>
      <c r="BD90" s="130">
        <v>-1</v>
      </c>
      <c r="BE90" s="169"/>
      <c r="BF90" s="130"/>
      <c r="BG90" s="130"/>
      <c r="BH90" s="130"/>
      <c r="BI90" s="130"/>
      <c r="BJ90" s="185"/>
      <c r="BK90" s="185"/>
      <c r="BL90" s="185"/>
      <c r="BM90" s="185"/>
      <c r="BN90" s="185"/>
      <c r="BO90" s="185"/>
      <c r="BP90" s="185"/>
      <c r="BQ90" s="185"/>
      <c r="BR90" s="185">
        <v>1</v>
      </c>
      <c r="BS90" s="185"/>
      <c r="BT90" s="185">
        <v>1</v>
      </c>
      <c r="BU90" s="185"/>
      <c r="BV90" s="185"/>
      <c r="BW90" s="185"/>
      <c r="BX90" s="185"/>
      <c r="BY90" s="185"/>
      <c r="BZ90" s="132">
        <v>1</v>
      </c>
      <c r="CA90" s="185"/>
      <c r="CB90" s="130">
        <v>5</v>
      </c>
      <c r="CC90" s="130">
        <v>0</v>
      </c>
      <c r="CD90" s="130">
        <v>88</v>
      </c>
      <c r="CE90" s="130">
        <v>0</v>
      </c>
      <c r="CF90" s="130">
        <v>83</v>
      </c>
      <c r="CG90" s="130">
        <v>5</v>
      </c>
      <c r="CH90" s="220">
        <f>+CF90+CG90</f>
        <v>88</v>
      </c>
    </row>
    <row r="91" spans="1:86" x14ac:dyDescent="0.25">
      <c r="A91" s="14" t="s">
        <v>207</v>
      </c>
      <c r="B91" s="2" t="s">
        <v>209</v>
      </c>
      <c r="C91" s="22"/>
      <c r="D91" s="183"/>
      <c r="E91" s="16"/>
      <c r="F91" s="16"/>
      <c r="G91" s="17"/>
      <c r="H91" s="17"/>
      <c r="I91" s="17"/>
      <c r="J91" s="17"/>
      <c r="K91" s="136"/>
      <c r="L91" s="136"/>
      <c r="M91" s="136"/>
      <c r="N91" s="136"/>
      <c r="O91" s="136"/>
      <c r="P91" s="136"/>
      <c r="Q91" s="183"/>
      <c r="R91" s="183"/>
      <c r="S91" s="183"/>
      <c r="T91" s="183"/>
      <c r="U91" s="183"/>
      <c r="V91" s="183"/>
      <c r="W91" s="183"/>
      <c r="X91" s="18"/>
      <c r="Y91" s="18"/>
      <c r="Z91" s="19"/>
      <c r="AA91" s="19"/>
      <c r="AB91" s="19"/>
      <c r="AC91" s="19"/>
      <c r="AD91" s="130"/>
      <c r="AE91" s="130"/>
      <c r="AF91" s="130"/>
      <c r="AG91" s="130"/>
      <c r="AH91" s="185"/>
      <c r="AI91" s="185"/>
      <c r="AJ91" s="185"/>
      <c r="AK91" s="185">
        <v>57</v>
      </c>
      <c r="AL91" s="169"/>
      <c r="AM91" s="185">
        <v>5</v>
      </c>
      <c r="AN91" s="169">
        <v>5</v>
      </c>
      <c r="AO91" s="185">
        <v>2</v>
      </c>
      <c r="AP91" s="185">
        <v>1</v>
      </c>
      <c r="AQ91" s="185">
        <v>1</v>
      </c>
      <c r="AR91" s="169">
        <v>5</v>
      </c>
      <c r="AS91" s="185">
        <v>5</v>
      </c>
      <c r="AT91" s="185">
        <v>0</v>
      </c>
      <c r="AU91" s="185">
        <v>1</v>
      </c>
      <c r="AV91" s="185">
        <v>0</v>
      </c>
      <c r="AW91" s="169">
        <v>1</v>
      </c>
      <c r="AX91" s="132">
        <v>0</v>
      </c>
      <c r="AY91" s="185">
        <v>83</v>
      </c>
      <c r="AZ91" s="131">
        <v>1</v>
      </c>
      <c r="BA91" s="131"/>
      <c r="BB91" s="130"/>
      <c r="BC91" s="130"/>
      <c r="BD91" s="130"/>
      <c r="BE91" s="130"/>
      <c r="BF91" s="130"/>
      <c r="BG91" s="130"/>
      <c r="BH91" s="130"/>
      <c r="BI91" s="130"/>
      <c r="BJ91" s="185"/>
      <c r="BK91" s="185"/>
      <c r="BL91" s="185"/>
      <c r="BM91" s="185"/>
      <c r="BN91" s="169"/>
      <c r="BO91" s="185"/>
      <c r="BP91" s="185"/>
      <c r="BQ91" s="185"/>
      <c r="BR91" s="185"/>
      <c r="BS91" s="185"/>
      <c r="BT91" s="185"/>
      <c r="BU91" s="185">
        <v>1</v>
      </c>
      <c r="BV91" s="185"/>
      <c r="BW91" s="185"/>
      <c r="BX91" s="185"/>
      <c r="BY91" s="185"/>
      <c r="BZ91" s="132"/>
      <c r="CA91" s="185">
        <v>0</v>
      </c>
      <c r="CB91" s="130">
        <v>1</v>
      </c>
      <c r="CC91" s="130">
        <v>0</v>
      </c>
      <c r="CD91" s="130">
        <v>84</v>
      </c>
      <c r="CE91" s="130">
        <v>1</v>
      </c>
      <c r="CF91" s="130">
        <v>84</v>
      </c>
      <c r="CG91" s="130">
        <v>1</v>
      </c>
      <c r="CH91" s="220">
        <f>+CF91+CG91</f>
        <v>85</v>
      </c>
    </row>
    <row r="92" spans="1:86" x14ac:dyDescent="0.25">
      <c r="A92" s="14">
        <v>65</v>
      </c>
      <c r="B92" s="2" t="s">
        <v>68</v>
      </c>
      <c r="C92" s="15"/>
      <c r="D92" s="183"/>
      <c r="E92" s="16">
        <v>9</v>
      </c>
      <c r="F92" s="16"/>
      <c r="G92" s="17"/>
      <c r="H92" s="17"/>
      <c r="I92" s="17"/>
      <c r="J92" s="17"/>
      <c r="K92" s="136"/>
      <c r="L92" s="136">
        <v>-1</v>
      </c>
      <c r="M92" s="136"/>
      <c r="N92" s="136"/>
      <c r="O92" s="136"/>
      <c r="P92" s="136">
        <v>-1</v>
      </c>
      <c r="Q92" s="183"/>
      <c r="R92" s="183"/>
      <c r="S92" s="183"/>
      <c r="T92" s="183"/>
      <c r="U92" s="183"/>
      <c r="V92" s="183">
        <v>-1</v>
      </c>
      <c r="W92" s="183"/>
      <c r="X92" s="18">
        <v>8</v>
      </c>
      <c r="Y92" s="18"/>
      <c r="Z92" s="19">
        <v>3</v>
      </c>
      <c r="AA92" s="19">
        <v>12</v>
      </c>
      <c r="AB92" s="19">
        <v>2</v>
      </c>
      <c r="AC92" s="19"/>
      <c r="AD92" s="130"/>
      <c r="AE92" s="130">
        <v>8</v>
      </c>
      <c r="AF92" s="130"/>
      <c r="AG92" s="130">
        <v>3</v>
      </c>
      <c r="AH92" s="185">
        <v>3</v>
      </c>
      <c r="AI92" s="185">
        <v>29</v>
      </c>
      <c r="AJ92" s="185">
        <v>1</v>
      </c>
      <c r="AK92" s="185">
        <v>3</v>
      </c>
      <c r="AL92" s="185"/>
      <c r="AM92" s="185">
        <v>2</v>
      </c>
      <c r="AN92" s="185"/>
      <c r="AO92" s="185"/>
      <c r="AP92" s="185">
        <v>1</v>
      </c>
      <c r="AQ92" s="185"/>
      <c r="AR92" s="185"/>
      <c r="AS92" s="169">
        <v>1</v>
      </c>
      <c r="AT92" s="185"/>
      <c r="AU92" s="169">
        <v>1</v>
      </c>
      <c r="AV92" s="185">
        <v>0</v>
      </c>
      <c r="AW92" s="185"/>
      <c r="AX92" s="132">
        <v>0</v>
      </c>
      <c r="AY92" s="185">
        <v>74</v>
      </c>
      <c r="AZ92" s="131">
        <v>1</v>
      </c>
      <c r="BA92" s="131">
        <v>1</v>
      </c>
      <c r="BB92" s="130"/>
      <c r="BC92" s="130"/>
      <c r="BD92" s="130">
        <v>-1</v>
      </c>
      <c r="BE92" s="130"/>
      <c r="BF92" s="130"/>
      <c r="BG92" s="130"/>
      <c r="BH92" s="130"/>
      <c r="BI92" s="130"/>
      <c r="BJ92" s="185"/>
      <c r="BK92" s="185">
        <v>2</v>
      </c>
      <c r="BL92" s="185">
        <v>1</v>
      </c>
      <c r="BM92" s="185">
        <v>1</v>
      </c>
      <c r="BN92" s="185"/>
      <c r="BO92" s="185"/>
      <c r="BP92" s="185"/>
      <c r="BQ92" s="185"/>
      <c r="BR92" s="185"/>
      <c r="BS92" s="185"/>
      <c r="BT92" s="185"/>
      <c r="BU92" s="185">
        <v>2</v>
      </c>
      <c r="BV92" s="185"/>
      <c r="BW92" s="185"/>
      <c r="BX92" s="185"/>
      <c r="BY92" s="185"/>
      <c r="BZ92" s="132"/>
      <c r="CA92" s="185"/>
      <c r="CB92" s="130">
        <v>6</v>
      </c>
      <c r="CC92" s="130">
        <v>0</v>
      </c>
      <c r="CD92" s="130">
        <v>80</v>
      </c>
      <c r="CE92" s="130">
        <v>1</v>
      </c>
      <c r="CF92" s="130">
        <v>75</v>
      </c>
      <c r="CG92" s="130">
        <v>6</v>
      </c>
      <c r="CH92" s="220">
        <f>+CF92+CG92</f>
        <v>81</v>
      </c>
    </row>
    <row r="93" spans="1:86" x14ac:dyDescent="0.25">
      <c r="A93" s="14">
        <v>82</v>
      </c>
      <c r="B93" s="2" t="s">
        <v>85</v>
      </c>
      <c r="C93" s="22"/>
      <c r="D93" s="183">
        <v>-1</v>
      </c>
      <c r="E93" s="16">
        <v>23</v>
      </c>
      <c r="F93" s="16"/>
      <c r="G93" s="17"/>
      <c r="H93" s="17"/>
      <c r="I93" s="17">
        <v>-3</v>
      </c>
      <c r="J93" s="17"/>
      <c r="K93" s="136"/>
      <c r="L93" s="136"/>
      <c r="M93" s="136"/>
      <c r="N93" s="136"/>
      <c r="O93" s="136"/>
      <c r="P93" s="136"/>
      <c r="Q93" s="183"/>
      <c r="R93" s="183"/>
      <c r="S93" s="183"/>
      <c r="T93" s="183"/>
      <c r="U93" s="183"/>
      <c r="V93" s="183"/>
      <c r="W93" s="183"/>
      <c r="X93" s="18">
        <v>24</v>
      </c>
      <c r="Y93" s="18"/>
      <c r="Z93" s="19"/>
      <c r="AA93" s="19">
        <v>6</v>
      </c>
      <c r="AB93" s="19">
        <v>15</v>
      </c>
      <c r="AC93" s="19">
        <v>1</v>
      </c>
      <c r="AD93" s="130"/>
      <c r="AE93" s="130">
        <v>2</v>
      </c>
      <c r="AF93" s="130">
        <v>1</v>
      </c>
      <c r="AG93" s="130">
        <v>4</v>
      </c>
      <c r="AH93" s="185">
        <v>4</v>
      </c>
      <c r="AI93" s="185"/>
      <c r="AJ93" s="185">
        <v>3</v>
      </c>
      <c r="AK93" s="185">
        <v>3</v>
      </c>
      <c r="AL93" s="185">
        <v>1</v>
      </c>
      <c r="AM93" s="185"/>
      <c r="AN93" s="185"/>
      <c r="AO93" s="185"/>
      <c r="AP93" s="185">
        <v>1</v>
      </c>
      <c r="AQ93" s="185">
        <v>1</v>
      </c>
      <c r="AR93" s="185">
        <v>4</v>
      </c>
      <c r="AS93" s="185">
        <v>5</v>
      </c>
      <c r="AT93" s="185">
        <v>1</v>
      </c>
      <c r="AU93" s="185"/>
      <c r="AV93" s="185"/>
      <c r="AW93" s="185"/>
      <c r="AX93" s="132">
        <v>0</v>
      </c>
      <c r="AY93" s="185">
        <v>73</v>
      </c>
      <c r="AZ93" s="131">
        <v>1</v>
      </c>
      <c r="BA93" s="131"/>
      <c r="BB93" s="130"/>
      <c r="BC93" s="130"/>
      <c r="BD93" s="130"/>
      <c r="BE93" s="130"/>
      <c r="BF93" s="130"/>
      <c r="BG93" s="130"/>
      <c r="BH93" s="130"/>
      <c r="BI93" s="130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  <c r="BY93" s="185"/>
      <c r="BZ93" s="132"/>
      <c r="CA93" s="185"/>
      <c r="CB93" s="130">
        <v>0</v>
      </c>
      <c r="CC93" s="130">
        <v>0</v>
      </c>
      <c r="CD93" s="130">
        <v>73</v>
      </c>
      <c r="CE93" s="130">
        <v>1</v>
      </c>
      <c r="CF93" s="130">
        <v>73</v>
      </c>
      <c r="CG93" s="130">
        <v>0</v>
      </c>
      <c r="CH93" s="220">
        <f>+CF93+CG93</f>
        <v>73</v>
      </c>
    </row>
    <row r="94" spans="1:86" x14ac:dyDescent="0.25">
      <c r="A94" s="14">
        <v>40</v>
      </c>
      <c r="B94" s="2" t="s">
        <v>43</v>
      </c>
      <c r="C94" s="15"/>
      <c r="D94" s="183"/>
      <c r="E94" s="16">
        <v>14</v>
      </c>
      <c r="F94" s="16"/>
      <c r="G94" s="17"/>
      <c r="H94" s="17"/>
      <c r="I94" s="17"/>
      <c r="J94" s="17"/>
      <c r="K94" s="136"/>
      <c r="L94" s="136"/>
      <c r="M94" s="136"/>
      <c r="N94" s="136">
        <v>-1</v>
      </c>
      <c r="O94" s="136"/>
      <c r="P94" s="136"/>
      <c r="Q94" s="183"/>
      <c r="R94" s="183"/>
      <c r="S94" s="183"/>
      <c r="T94" s="183"/>
      <c r="U94" s="183"/>
      <c r="V94" s="183"/>
      <c r="W94" s="183"/>
      <c r="X94" s="18">
        <v>15</v>
      </c>
      <c r="Y94" s="18"/>
      <c r="Z94" s="19"/>
      <c r="AA94" s="19"/>
      <c r="AB94" s="19">
        <v>3</v>
      </c>
      <c r="AC94" s="19"/>
      <c r="AD94" s="130">
        <v>3</v>
      </c>
      <c r="AE94" s="130">
        <v>3</v>
      </c>
      <c r="AF94" s="130">
        <v>1</v>
      </c>
      <c r="AG94" s="130">
        <v>1</v>
      </c>
      <c r="AH94" s="185">
        <v>1</v>
      </c>
      <c r="AI94" s="185">
        <v>1</v>
      </c>
      <c r="AJ94" s="185">
        <v>1</v>
      </c>
      <c r="AK94" s="185">
        <v>2</v>
      </c>
      <c r="AL94" s="185">
        <v>1</v>
      </c>
      <c r="AM94" s="185">
        <v>3</v>
      </c>
      <c r="AN94" s="169">
        <v>3</v>
      </c>
      <c r="AO94" s="185">
        <v>2</v>
      </c>
      <c r="AP94" s="185">
        <v>1</v>
      </c>
      <c r="AQ94" s="185">
        <v>1</v>
      </c>
      <c r="AR94" s="169">
        <v>10</v>
      </c>
      <c r="AS94" s="169">
        <v>1</v>
      </c>
      <c r="AT94" s="185">
        <v>1</v>
      </c>
      <c r="AU94" s="228">
        <v>2</v>
      </c>
      <c r="AV94" s="185">
        <v>8</v>
      </c>
      <c r="AW94" s="185">
        <v>5</v>
      </c>
      <c r="AX94" s="132">
        <v>1</v>
      </c>
      <c r="AY94" s="185">
        <v>69</v>
      </c>
      <c r="AZ94" s="131">
        <v>2</v>
      </c>
      <c r="BA94" s="131"/>
      <c r="BB94" s="130"/>
      <c r="BC94" s="130"/>
      <c r="BD94" s="130"/>
      <c r="BE94" s="130"/>
      <c r="BF94" s="130"/>
      <c r="BG94" s="130"/>
      <c r="BH94" s="130"/>
      <c r="BI94" s="130"/>
      <c r="BJ94" s="185"/>
      <c r="BK94" s="185"/>
      <c r="BL94" s="185">
        <v>1</v>
      </c>
      <c r="BM94" s="185"/>
      <c r="BN94" s="185"/>
      <c r="BO94" s="185"/>
      <c r="BP94" s="185"/>
      <c r="BQ94" s="185"/>
      <c r="BR94" s="185"/>
      <c r="BS94" s="185"/>
      <c r="BT94" s="185"/>
      <c r="BU94" s="185"/>
      <c r="BV94" s="185"/>
      <c r="BW94" s="228"/>
      <c r="BX94" s="185"/>
      <c r="BY94" s="185"/>
      <c r="BZ94" s="132"/>
      <c r="CA94" s="185">
        <v>0</v>
      </c>
      <c r="CB94" s="130">
        <v>1</v>
      </c>
      <c r="CC94" s="130">
        <v>0</v>
      </c>
      <c r="CD94" s="130">
        <v>70</v>
      </c>
      <c r="CE94" s="130">
        <v>2</v>
      </c>
      <c r="CF94" s="130">
        <v>71</v>
      </c>
      <c r="CG94" s="130">
        <v>1</v>
      </c>
      <c r="CH94" s="220">
        <f>+CF94+CG94</f>
        <v>72</v>
      </c>
    </row>
    <row r="95" spans="1:86" x14ac:dyDescent="0.25">
      <c r="A95" s="14">
        <v>87</v>
      </c>
      <c r="B95" s="2" t="s">
        <v>90</v>
      </c>
      <c r="C95" s="15"/>
      <c r="D95" s="183"/>
      <c r="E95" s="16">
        <v>30</v>
      </c>
      <c r="F95" s="16"/>
      <c r="G95" s="17"/>
      <c r="H95" s="17"/>
      <c r="I95" s="17"/>
      <c r="J95" s="17"/>
      <c r="K95" s="136"/>
      <c r="L95" s="136"/>
      <c r="M95" s="136"/>
      <c r="N95" s="136"/>
      <c r="O95" s="136"/>
      <c r="P95" s="136"/>
      <c r="Q95" s="183"/>
      <c r="R95" s="183"/>
      <c r="S95" s="183">
        <v>-2</v>
      </c>
      <c r="T95" s="183">
        <v>-4</v>
      </c>
      <c r="U95" s="183"/>
      <c r="V95" s="183"/>
      <c r="W95" s="183"/>
      <c r="X95" s="18">
        <v>30</v>
      </c>
      <c r="Y95" s="18">
        <v>1</v>
      </c>
      <c r="Z95" s="19"/>
      <c r="AA95" s="19"/>
      <c r="AB95" s="19"/>
      <c r="AC95" s="19">
        <v>5</v>
      </c>
      <c r="AD95" s="130">
        <v>1</v>
      </c>
      <c r="AE95" s="130">
        <v>3</v>
      </c>
      <c r="AF95" s="130">
        <v>1</v>
      </c>
      <c r="AG95" s="130">
        <v>1</v>
      </c>
      <c r="AH95" s="185">
        <v>6</v>
      </c>
      <c r="AI95" s="185"/>
      <c r="AJ95" s="185"/>
      <c r="AK95" s="185">
        <v>1</v>
      </c>
      <c r="AL95" s="185">
        <v>3</v>
      </c>
      <c r="AM95" s="185">
        <v>3</v>
      </c>
      <c r="AN95" s="185">
        <v>1</v>
      </c>
      <c r="AO95" s="185">
        <v>5</v>
      </c>
      <c r="AP95" s="185"/>
      <c r="AQ95" s="185">
        <v>1</v>
      </c>
      <c r="AR95" s="185">
        <v>2</v>
      </c>
      <c r="AS95" s="185"/>
      <c r="AT95" s="185">
        <v>3</v>
      </c>
      <c r="AU95" s="185">
        <v>1</v>
      </c>
      <c r="AV95" s="185"/>
      <c r="AW95" s="185"/>
      <c r="AX95" s="132">
        <v>1</v>
      </c>
      <c r="AY95" s="185">
        <v>63</v>
      </c>
      <c r="AZ95" s="131">
        <v>1</v>
      </c>
      <c r="BA95" s="131"/>
      <c r="BB95" s="130"/>
      <c r="BC95" s="130"/>
      <c r="BD95" s="130"/>
      <c r="BE95" s="130"/>
      <c r="BF95" s="130"/>
      <c r="BG95" s="130"/>
      <c r="BH95" s="130"/>
      <c r="BI95" s="130"/>
      <c r="BJ95" s="185"/>
      <c r="BK95" s="185"/>
      <c r="BL95" s="185">
        <v>2</v>
      </c>
      <c r="BM95" s="185"/>
      <c r="BN95" s="185"/>
      <c r="BO95" s="185"/>
      <c r="BP95" s="185">
        <v>2</v>
      </c>
      <c r="BQ95" s="185"/>
      <c r="BR95" s="185"/>
      <c r="BS95" s="185"/>
      <c r="BT95" s="185"/>
      <c r="BU95" s="185"/>
      <c r="BV95" s="185"/>
      <c r="BW95" s="185"/>
      <c r="BX95" s="185"/>
      <c r="BY95" s="185"/>
      <c r="BZ95" s="132"/>
      <c r="CA95" s="185"/>
      <c r="CB95" s="130">
        <v>4</v>
      </c>
      <c r="CC95" s="130">
        <v>0</v>
      </c>
      <c r="CD95" s="130">
        <v>67</v>
      </c>
      <c r="CE95" s="130">
        <v>1</v>
      </c>
      <c r="CF95" s="130">
        <v>64</v>
      </c>
      <c r="CG95" s="130">
        <v>4</v>
      </c>
      <c r="CH95" s="220">
        <f>+CF95+CG95</f>
        <v>68</v>
      </c>
    </row>
    <row r="96" spans="1:86" x14ac:dyDescent="0.25">
      <c r="A96" s="14">
        <v>57</v>
      </c>
      <c r="B96" s="2" t="s">
        <v>60</v>
      </c>
      <c r="C96" s="22"/>
      <c r="D96" s="183"/>
      <c r="E96" s="16">
        <v>36</v>
      </c>
      <c r="F96" s="16"/>
      <c r="G96" s="17"/>
      <c r="H96" s="17"/>
      <c r="I96" s="17">
        <v>-1</v>
      </c>
      <c r="J96" s="17"/>
      <c r="K96" s="136"/>
      <c r="L96" s="136"/>
      <c r="M96" s="136">
        <v>-2</v>
      </c>
      <c r="N96" s="136"/>
      <c r="O96" s="136"/>
      <c r="P96" s="136">
        <v>-1</v>
      </c>
      <c r="Q96" s="183"/>
      <c r="R96" s="183">
        <v>-2</v>
      </c>
      <c r="S96" s="183">
        <v>-1</v>
      </c>
      <c r="T96" s="183"/>
      <c r="U96" s="183"/>
      <c r="V96" s="183"/>
      <c r="W96" s="183"/>
      <c r="X96" s="18">
        <v>40</v>
      </c>
      <c r="Y96" s="18"/>
      <c r="Z96" s="19"/>
      <c r="AA96" s="19"/>
      <c r="AB96" s="19">
        <v>6</v>
      </c>
      <c r="AC96" s="19">
        <v>2</v>
      </c>
      <c r="AD96" s="130">
        <v>3</v>
      </c>
      <c r="AE96" s="130"/>
      <c r="AF96" s="130">
        <v>5</v>
      </c>
      <c r="AG96" s="130"/>
      <c r="AH96" s="185"/>
      <c r="AI96" s="185">
        <v>1</v>
      </c>
      <c r="AJ96" s="185"/>
      <c r="AK96" s="185">
        <v>3</v>
      </c>
      <c r="AL96" s="169">
        <v>1</v>
      </c>
      <c r="AM96" s="185"/>
      <c r="AN96" s="185"/>
      <c r="AO96" s="185"/>
      <c r="AP96" s="185">
        <v>3</v>
      </c>
      <c r="AQ96" s="185"/>
      <c r="AR96" s="185"/>
      <c r="AS96" s="185">
        <v>1</v>
      </c>
      <c r="AT96" s="185"/>
      <c r="AU96" s="185">
        <v>1</v>
      </c>
      <c r="AV96" s="185"/>
      <c r="AW96" s="185">
        <v>2</v>
      </c>
      <c r="AX96" s="132">
        <v>0</v>
      </c>
      <c r="AY96" s="185">
        <v>61</v>
      </c>
      <c r="AZ96" s="131">
        <v>0</v>
      </c>
      <c r="BA96" s="131">
        <v>3</v>
      </c>
      <c r="BB96" s="130"/>
      <c r="BC96" s="130"/>
      <c r="BD96" s="130"/>
      <c r="BE96" s="130"/>
      <c r="BF96" s="130"/>
      <c r="BG96" s="130"/>
      <c r="BH96" s="130"/>
      <c r="BI96" s="130"/>
      <c r="BJ96" s="185"/>
      <c r="BK96" s="185"/>
      <c r="BL96" s="185"/>
      <c r="BM96" s="185"/>
      <c r="BN96" s="169"/>
      <c r="BO96" s="185"/>
      <c r="BP96" s="185"/>
      <c r="BQ96" s="185"/>
      <c r="BR96" s="185"/>
      <c r="BS96" s="185"/>
      <c r="BT96" s="185"/>
      <c r="BU96" s="185"/>
      <c r="BV96" s="185"/>
      <c r="BW96" s="185"/>
      <c r="BX96" s="185"/>
      <c r="BY96" s="185"/>
      <c r="BZ96" s="132"/>
      <c r="CA96" s="185"/>
      <c r="CB96" s="130">
        <v>3</v>
      </c>
      <c r="CC96" s="130">
        <v>0</v>
      </c>
      <c r="CD96" s="130">
        <v>64</v>
      </c>
      <c r="CE96" s="130">
        <v>0</v>
      </c>
      <c r="CF96" s="130">
        <v>61</v>
      </c>
      <c r="CG96" s="130">
        <v>3</v>
      </c>
      <c r="CH96" s="220">
        <f>+CF96+CG96</f>
        <v>64</v>
      </c>
    </row>
    <row r="97" spans="1:86" x14ac:dyDescent="0.25">
      <c r="A97" s="14">
        <v>23</v>
      </c>
      <c r="B97" s="2" t="s">
        <v>26</v>
      </c>
      <c r="C97" s="15"/>
      <c r="D97" s="183"/>
      <c r="E97" s="16">
        <v>17</v>
      </c>
      <c r="F97" s="16"/>
      <c r="G97" s="17"/>
      <c r="H97" s="17"/>
      <c r="I97" s="17"/>
      <c r="J97" s="17">
        <v>-1</v>
      </c>
      <c r="K97" s="136"/>
      <c r="L97" s="136"/>
      <c r="M97" s="136"/>
      <c r="N97" s="136"/>
      <c r="O97" s="136"/>
      <c r="P97" s="136"/>
      <c r="Q97" s="183"/>
      <c r="R97" s="183"/>
      <c r="S97" s="183"/>
      <c r="T97" s="183">
        <v>-6</v>
      </c>
      <c r="U97" s="183"/>
      <c r="V97" s="183"/>
      <c r="W97" s="183"/>
      <c r="X97" s="18">
        <v>17</v>
      </c>
      <c r="Y97" s="18"/>
      <c r="Z97" s="19"/>
      <c r="AA97" s="19">
        <v>1</v>
      </c>
      <c r="AB97" s="19">
        <v>1</v>
      </c>
      <c r="AC97" s="19">
        <v>9</v>
      </c>
      <c r="AD97" s="130">
        <v>1</v>
      </c>
      <c r="AE97" s="130">
        <v>13</v>
      </c>
      <c r="AF97" s="130"/>
      <c r="AG97" s="169">
        <v>1</v>
      </c>
      <c r="AH97" s="185"/>
      <c r="AI97" s="185">
        <v>1</v>
      </c>
      <c r="AJ97" s="185"/>
      <c r="AK97" s="185">
        <v>4</v>
      </c>
      <c r="AL97" s="185"/>
      <c r="AM97" s="185">
        <v>6</v>
      </c>
      <c r="AN97" s="185">
        <v>1</v>
      </c>
      <c r="AO97" s="185">
        <v>2</v>
      </c>
      <c r="AP97" s="185">
        <v>1</v>
      </c>
      <c r="AQ97" s="185"/>
      <c r="AR97" s="185">
        <v>1</v>
      </c>
      <c r="AS97" s="169">
        <v>0</v>
      </c>
      <c r="AT97" s="185">
        <v>0</v>
      </c>
      <c r="AU97" s="228">
        <v>1</v>
      </c>
      <c r="AV97" s="169">
        <v>0</v>
      </c>
      <c r="AW97" s="169">
        <v>0</v>
      </c>
      <c r="AX97" s="132">
        <v>0</v>
      </c>
      <c r="AY97" s="185">
        <v>53</v>
      </c>
      <c r="AZ97" s="131">
        <v>0</v>
      </c>
      <c r="BA97" s="131">
        <v>1</v>
      </c>
      <c r="BB97" s="130"/>
      <c r="BC97" s="130"/>
      <c r="BD97" s="130">
        <v>-1</v>
      </c>
      <c r="BE97" s="130"/>
      <c r="BF97" s="130"/>
      <c r="BG97" s="130"/>
      <c r="BH97" s="130">
        <v>1</v>
      </c>
      <c r="BI97" s="169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185"/>
      <c r="BW97" s="185"/>
      <c r="BX97" s="185"/>
      <c r="BY97" s="185"/>
      <c r="BZ97" s="132"/>
      <c r="CA97" s="185">
        <v>0</v>
      </c>
      <c r="CB97" s="130">
        <v>1</v>
      </c>
      <c r="CC97" s="130">
        <v>0</v>
      </c>
      <c r="CD97" s="130">
        <v>54</v>
      </c>
      <c r="CE97" s="130">
        <v>0</v>
      </c>
      <c r="CF97" s="130">
        <v>53</v>
      </c>
      <c r="CG97" s="130">
        <v>1</v>
      </c>
      <c r="CH97" s="220">
        <f>+CF97+CG97</f>
        <v>54</v>
      </c>
    </row>
    <row r="98" spans="1:86" x14ac:dyDescent="0.25">
      <c r="A98" s="14" t="s">
        <v>206</v>
      </c>
      <c r="B98" s="2" t="s">
        <v>208</v>
      </c>
      <c r="C98" s="22"/>
      <c r="D98" s="183">
        <v>-1</v>
      </c>
      <c r="E98" s="16">
        <v>32</v>
      </c>
      <c r="F98" s="16"/>
      <c r="G98" s="17">
        <v>-1</v>
      </c>
      <c r="H98" s="17"/>
      <c r="I98" s="17"/>
      <c r="J98" s="17">
        <v>-2</v>
      </c>
      <c r="K98" s="136"/>
      <c r="L98" s="136">
        <v>-1</v>
      </c>
      <c r="M98" s="136"/>
      <c r="N98" s="136"/>
      <c r="O98" s="136"/>
      <c r="P98" s="136"/>
      <c r="Q98" s="183"/>
      <c r="R98" s="183"/>
      <c r="S98" s="183"/>
      <c r="T98" s="183"/>
      <c r="U98" s="183"/>
      <c r="V98" s="183"/>
      <c r="W98" s="183">
        <v>-1</v>
      </c>
      <c r="X98" s="18">
        <v>34</v>
      </c>
      <c r="Y98" s="18"/>
      <c r="Z98" s="19">
        <v>2</v>
      </c>
      <c r="AA98" s="19">
        <v>1</v>
      </c>
      <c r="AB98" s="19">
        <v>1</v>
      </c>
      <c r="AC98" s="19">
        <v>26</v>
      </c>
      <c r="AD98" s="130"/>
      <c r="AE98" s="130">
        <v>2</v>
      </c>
      <c r="AF98" s="130"/>
      <c r="AG98" s="130"/>
      <c r="AH98" s="185">
        <v>5</v>
      </c>
      <c r="AI98" s="185"/>
      <c r="AJ98" s="185">
        <v>12</v>
      </c>
      <c r="AK98" s="185">
        <v>-57</v>
      </c>
      <c r="AL98" s="185">
        <v>3</v>
      </c>
      <c r="AM98" s="185"/>
      <c r="AN98" s="185"/>
      <c r="AO98" s="185">
        <v>1</v>
      </c>
      <c r="AP98" s="185">
        <v>1</v>
      </c>
      <c r="AQ98" s="185">
        <v>1</v>
      </c>
      <c r="AR98" s="169">
        <v>1</v>
      </c>
      <c r="AS98" s="185">
        <v>1</v>
      </c>
      <c r="AT98" s="169">
        <v>0</v>
      </c>
      <c r="AU98" s="169">
        <v>1</v>
      </c>
      <c r="AV98" s="169">
        <v>1</v>
      </c>
      <c r="AW98" s="169">
        <v>0</v>
      </c>
      <c r="AX98" s="132">
        <v>0</v>
      </c>
      <c r="AY98" s="185">
        <v>31</v>
      </c>
      <c r="AZ98" s="131">
        <v>1</v>
      </c>
      <c r="BA98" s="131"/>
      <c r="BB98" s="130"/>
      <c r="BC98" s="130"/>
      <c r="BD98" s="130"/>
      <c r="BE98" s="130"/>
      <c r="BF98" s="130"/>
      <c r="BG98" s="130"/>
      <c r="BH98" s="130"/>
      <c r="BI98" s="130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185"/>
      <c r="BW98" s="185"/>
      <c r="BX98" s="185"/>
      <c r="BY98" s="185"/>
      <c r="BZ98" s="132"/>
      <c r="CA98" s="185">
        <v>0</v>
      </c>
      <c r="CB98" s="130">
        <v>0</v>
      </c>
      <c r="CC98" s="130">
        <v>0</v>
      </c>
      <c r="CD98" s="130">
        <v>31</v>
      </c>
      <c r="CE98" s="130">
        <v>1</v>
      </c>
      <c r="CF98" s="130">
        <v>31</v>
      </c>
      <c r="CG98" s="130">
        <v>0</v>
      </c>
      <c r="CH98" s="220">
        <f>+CF98+CG98</f>
        <v>31</v>
      </c>
    </row>
    <row r="99" spans="1:86" x14ac:dyDescent="0.25">
      <c r="A99" s="14">
        <v>974</v>
      </c>
      <c r="B99" s="2" t="s">
        <v>102</v>
      </c>
      <c r="C99" s="22"/>
      <c r="D99" s="183"/>
      <c r="E99" s="16">
        <v>1</v>
      </c>
      <c r="F99" s="16"/>
      <c r="G99" s="17"/>
      <c r="H99" s="17"/>
      <c r="I99" s="17"/>
      <c r="J99" s="17"/>
      <c r="K99" s="136"/>
      <c r="L99" s="136"/>
      <c r="M99" s="136"/>
      <c r="N99" s="136"/>
      <c r="O99" s="136"/>
      <c r="P99" s="136"/>
      <c r="Q99" s="183"/>
      <c r="R99" s="183"/>
      <c r="S99" s="183"/>
      <c r="T99" s="183"/>
      <c r="U99" s="183"/>
      <c r="V99" s="183"/>
      <c r="W99" s="183"/>
      <c r="X99" s="18">
        <v>3</v>
      </c>
      <c r="Y99" s="18"/>
      <c r="Z99" s="19"/>
      <c r="AA99" s="19"/>
      <c r="AB99" s="19"/>
      <c r="AC99" s="19">
        <v>2</v>
      </c>
      <c r="AD99" s="130">
        <v>2</v>
      </c>
      <c r="AE99" s="130"/>
      <c r="AF99" s="130">
        <v>7</v>
      </c>
      <c r="AG99" s="130"/>
      <c r="AH99" s="185">
        <v>1</v>
      </c>
      <c r="AI99" s="185"/>
      <c r="AJ99" s="185"/>
      <c r="AK99" s="185"/>
      <c r="AL99" s="185">
        <v>2</v>
      </c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32">
        <v>0</v>
      </c>
      <c r="AY99" s="185">
        <v>17</v>
      </c>
      <c r="AZ99" s="131">
        <v>0</v>
      </c>
      <c r="BA99" s="131"/>
      <c r="BB99" s="130"/>
      <c r="BC99" s="130"/>
      <c r="BD99" s="130"/>
      <c r="BE99" s="130"/>
      <c r="BF99" s="130"/>
      <c r="BG99" s="130"/>
      <c r="BH99" s="130"/>
      <c r="BI99" s="130"/>
      <c r="BJ99" s="185"/>
      <c r="BK99" s="185"/>
      <c r="BL99" s="185"/>
      <c r="BM99" s="185"/>
      <c r="BN99" s="185"/>
      <c r="BO99" s="185"/>
      <c r="BP99" s="185"/>
      <c r="BQ99" s="185"/>
      <c r="BR99" s="185">
        <v>1</v>
      </c>
      <c r="BS99" s="185"/>
      <c r="BT99" s="185"/>
      <c r="BU99" s="185"/>
      <c r="BV99" s="185"/>
      <c r="BW99" s="185"/>
      <c r="BX99" s="185"/>
      <c r="BY99" s="185"/>
      <c r="BZ99" s="132"/>
      <c r="CA99" s="185"/>
      <c r="CB99" s="130">
        <v>1</v>
      </c>
      <c r="CC99" s="130">
        <v>0</v>
      </c>
      <c r="CD99" s="130">
        <v>18</v>
      </c>
      <c r="CE99" s="130">
        <v>0</v>
      </c>
      <c r="CF99" s="130">
        <v>17</v>
      </c>
      <c r="CG99" s="130">
        <v>1</v>
      </c>
      <c r="CH99" s="220">
        <f>+CF99+CG99</f>
        <v>18</v>
      </c>
    </row>
    <row r="100" spans="1:86" x14ac:dyDescent="0.25">
      <c r="A100" s="14">
        <v>90</v>
      </c>
      <c r="B100" s="2" t="s">
        <v>93</v>
      </c>
      <c r="C100" s="15"/>
      <c r="D100" s="136"/>
      <c r="E100" s="16">
        <v>7</v>
      </c>
      <c r="F100" s="16"/>
      <c r="G100" s="17"/>
      <c r="H100" s="17"/>
      <c r="I100" s="17"/>
      <c r="J100" s="17"/>
      <c r="K100" s="136"/>
      <c r="L100" s="136"/>
      <c r="M100" s="136"/>
      <c r="N100" s="136"/>
      <c r="O100" s="136"/>
      <c r="P100" s="136"/>
      <c r="Q100" s="136"/>
      <c r="R100" s="136"/>
      <c r="S100" s="136">
        <v>-1</v>
      </c>
      <c r="T100" s="136"/>
      <c r="U100" s="136"/>
      <c r="V100" s="136"/>
      <c r="W100" s="136"/>
      <c r="X100" s="18">
        <v>7</v>
      </c>
      <c r="Y100" s="18"/>
      <c r="Z100" s="19"/>
      <c r="AA100" s="19">
        <v>1</v>
      </c>
      <c r="AB100" s="19">
        <v>1</v>
      </c>
      <c r="AC100" s="19"/>
      <c r="AD100" s="130"/>
      <c r="AE100" s="130"/>
      <c r="AF100" s="130"/>
      <c r="AG100" s="130">
        <v>1</v>
      </c>
      <c r="AH100" s="185">
        <v>1</v>
      </c>
      <c r="AI100" s="185"/>
      <c r="AJ100" s="185"/>
      <c r="AK100" s="185"/>
      <c r="AL100" s="185">
        <v>4</v>
      </c>
      <c r="AM100" s="185"/>
      <c r="AN100" s="185"/>
      <c r="AO100" s="185"/>
      <c r="AP100" s="185">
        <v>1</v>
      </c>
      <c r="AQ100" s="185"/>
      <c r="AR100" s="185"/>
      <c r="AS100" s="185"/>
      <c r="AT100" s="185"/>
      <c r="AU100" s="185"/>
      <c r="AV100" s="169"/>
      <c r="AW100" s="185">
        <v>1</v>
      </c>
      <c r="AX100" s="132">
        <v>-1</v>
      </c>
      <c r="AY100" s="185">
        <v>15</v>
      </c>
      <c r="AZ100" s="131">
        <v>0</v>
      </c>
      <c r="BA100" s="131"/>
      <c r="BB100" s="130"/>
      <c r="BC100" s="130"/>
      <c r="BD100" s="130"/>
      <c r="BE100" s="130"/>
      <c r="BF100" s="130"/>
      <c r="BG100" s="130"/>
      <c r="BH100" s="130"/>
      <c r="BI100" s="130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  <c r="BV100" s="185"/>
      <c r="BW100" s="185"/>
      <c r="BX100" s="185"/>
      <c r="BY100" s="185"/>
      <c r="BZ100" s="132"/>
      <c r="CA100" s="185"/>
      <c r="CB100" s="130">
        <v>0</v>
      </c>
      <c r="CC100" s="130">
        <v>0</v>
      </c>
      <c r="CD100" s="130">
        <v>15</v>
      </c>
      <c r="CE100" s="130">
        <v>0</v>
      </c>
      <c r="CF100" s="130">
        <v>15</v>
      </c>
      <c r="CG100" s="130">
        <v>0</v>
      </c>
      <c r="CH100" s="220">
        <f>+CF100+CG100</f>
        <v>15</v>
      </c>
    </row>
    <row r="101" spans="1:86" x14ac:dyDescent="0.25">
      <c r="A101" s="14">
        <v>972</v>
      </c>
      <c r="B101" s="2" t="s">
        <v>100</v>
      </c>
      <c r="C101" s="22"/>
      <c r="D101" s="183"/>
      <c r="E101" s="16"/>
      <c r="F101" s="16"/>
      <c r="G101" s="17"/>
      <c r="H101" s="17"/>
      <c r="I101" s="17"/>
      <c r="J101" s="17"/>
      <c r="K101" s="136"/>
      <c r="L101" s="136"/>
      <c r="M101" s="136"/>
      <c r="N101" s="136"/>
      <c r="O101" s="136"/>
      <c r="P101" s="136"/>
      <c r="Q101" s="183"/>
      <c r="R101" s="183"/>
      <c r="S101" s="183"/>
      <c r="T101" s="183"/>
      <c r="U101" s="183"/>
      <c r="V101" s="183"/>
      <c r="W101" s="183"/>
      <c r="X101" s="18"/>
      <c r="Y101" s="18"/>
      <c r="Z101" s="19"/>
      <c r="AA101" s="19"/>
      <c r="AB101" s="19">
        <v>1</v>
      </c>
      <c r="AC101" s="19"/>
      <c r="AD101" s="130">
        <v>1</v>
      </c>
      <c r="AE101" s="130"/>
      <c r="AF101" s="130"/>
      <c r="AG101" s="130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185"/>
      <c r="AX101" s="132">
        <v>0</v>
      </c>
      <c r="AY101" s="185">
        <v>2</v>
      </c>
      <c r="AZ101" s="131">
        <v>1</v>
      </c>
      <c r="BA101" s="131"/>
      <c r="BB101" s="130"/>
      <c r="BC101" s="130"/>
      <c r="BD101" s="130"/>
      <c r="BE101" s="130"/>
      <c r="BF101" s="130"/>
      <c r="BG101" s="130"/>
      <c r="BH101" s="130"/>
      <c r="BI101" s="130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185"/>
      <c r="BT101" s="185"/>
      <c r="BU101" s="185"/>
      <c r="BV101" s="185"/>
      <c r="BW101" s="185"/>
      <c r="BX101" s="185"/>
      <c r="BY101" s="185"/>
      <c r="BZ101" s="132"/>
      <c r="CA101" s="185"/>
      <c r="CB101" s="130">
        <v>0</v>
      </c>
      <c r="CC101" s="130">
        <v>0</v>
      </c>
      <c r="CD101" s="130">
        <v>2</v>
      </c>
      <c r="CE101" s="130">
        <v>1</v>
      </c>
      <c r="CF101" s="130">
        <v>3</v>
      </c>
      <c r="CG101" s="130">
        <v>0</v>
      </c>
      <c r="CH101" s="220">
        <f>+CF101+CG101</f>
        <v>3</v>
      </c>
    </row>
    <row r="102" spans="1:86" x14ac:dyDescent="0.25">
      <c r="A102" s="14">
        <v>971</v>
      </c>
      <c r="B102" s="2" t="s">
        <v>99</v>
      </c>
      <c r="C102" s="22"/>
      <c r="D102" s="183"/>
      <c r="E102" s="16"/>
      <c r="F102" s="16"/>
      <c r="G102" s="17"/>
      <c r="H102" s="17"/>
      <c r="I102" s="17"/>
      <c r="J102" s="17"/>
      <c r="K102" s="136"/>
      <c r="L102" s="136"/>
      <c r="M102" s="136"/>
      <c r="N102" s="136"/>
      <c r="O102" s="136"/>
      <c r="P102" s="136"/>
      <c r="Q102" s="183"/>
      <c r="R102" s="183"/>
      <c r="S102" s="183"/>
      <c r="T102" s="183"/>
      <c r="U102" s="183"/>
      <c r="V102" s="183"/>
      <c r="W102" s="183"/>
      <c r="X102" s="18"/>
      <c r="Y102" s="18"/>
      <c r="Z102" s="19"/>
      <c r="AA102" s="19"/>
      <c r="AB102" s="19"/>
      <c r="AC102" s="19"/>
      <c r="AD102" s="130"/>
      <c r="AE102" s="130"/>
      <c r="AF102" s="130"/>
      <c r="AG102" s="130"/>
      <c r="AH102" s="185"/>
      <c r="AI102" s="185">
        <v>1</v>
      </c>
      <c r="AJ102" s="185"/>
      <c r="AK102" s="185">
        <v>1</v>
      </c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32">
        <v>0</v>
      </c>
      <c r="AY102" s="185">
        <v>2</v>
      </c>
      <c r="AZ102" s="131">
        <v>0</v>
      </c>
      <c r="BA102" s="131"/>
      <c r="BB102" s="130"/>
      <c r="BC102" s="130"/>
      <c r="BD102" s="130"/>
      <c r="BE102" s="130"/>
      <c r="BF102" s="130"/>
      <c r="BG102" s="130"/>
      <c r="BH102" s="130"/>
      <c r="BI102" s="130"/>
      <c r="BJ102" s="185"/>
      <c r="BK102" s="185"/>
      <c r="BL102" s="185"/>
      <c r="BM102" s="185"/>
      <c r="BN102" s="185"/>
      <c r="BO102" s="185"/>
      <c r="BP102" s="185"/>
      <c r="BQ102" s="185"/>
      <c r="BR102" s="185"/>
      <c r="BS102" s="185"/>
      <c r="BT102" s="185"/>
      <c r="BU102" s="185"/>
      <c r="BV102" s="185"/>
      <c r="BW102" s="185"/>
      <c r="BX102" s="185"/>
      <c r="BY102" s="185"/>
      <c r="BZ102" s="132"/>
      <c r="CA102" s="185"/>
      <c r="CB102" s="130">
        <v>0</v>
      </c>
      <c r="CC102" s="130">
        <v>0</v>
      </c>
      <c r="CD102" s="130">
        <v>2</v>
      </c>
      <c r="CE102" s="130">
        <v>0</v>
      </c>
      <c r="CF102" s="130">
        <v>2</v>
      </c>
      <c r="CG102" s="130">
        <v>0</v>
      </c>
      <c r="CH102" s="220">
        <f>+CF102+CG102</f>
        <v>2</v>
      </c>
    </row>
    <row r="103" spans="1:86" x14ac:dyDescent="0.25">
      <c r="A103" s="14">
        <v>973</v>
      </c>
      <c r="B103" s="2" t="s">
        <v>101</v>
      </c>
      <c r="C103" s="22"/>
      <c r="D103" s="183"/>
      <c r="E103" s="16">
        <v>1</v>
      </c>
      <c r="F103" s="16"/>
      <c r="G103" s="17"/>
      <c r="H103" s="17"/>
      <c r="I103" s="17"/>
      <c r="J103" s="17"/>
      <c r="K103" s="136"/>
      <c r="L103" s="136"/>
      <c r="M103" s="136"/>
      <c r="N103" s="136"/>
      <c r="O103" s="136"/>
      <c r="P103" s="136"/>
      <c r="Q103" s="183"/>
      <c r="R103" s="183"/>
      <c r="S103" s="183"/>
      <c r="T103" s="183"/>
      <c r="U103" s="183"/>
      <c r="V103" s="183"/>
      <c r="W103" s="183"/>
      <c r="X103" s="18">
        <v>1</v>
      </c>
      <c r="Y103" s="18"/>
      <c r="Z103" s="19"/>
      <c r="AA103" s="19"/>
      <c r="AB103" s="19"/>
      <c r="AC103" s="19"/>
      <c r="AD103" s="130"/>
      <c r="AE103" s="130"/>
      <c r="AF103" s="130"/>
      <c r="AG103" s="130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32">
        <v>0</v>
      </c>
      <c r="AY103" s="185">
        <v>1</v>
      </c>
      <c r="AZ103" s="131">
        <v>0</v>
      </c>
      <c r="BA103" s="131"/>
      <c r="BB103" s="130"/>
      <c r="BC103" s="130"/>
      <c r="BD103" s="130"/>
      <c r="BE103" s="130"/>
      <c r="BF103" s="130"/>
      <c r="BG103" s="130"/>
      <c r="BH103" s="130"/>
      <c r="BI103" s="130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85"/>
      <c r="BV103" s="185"/>
      <c r="BW103" s="185"/>
      <c r="BX103" s="185"/>
      <c r="BY103" s="185"/>
      <c r="BZ103" s="132"/>
      <c r="CA103" s="185"/>
      <c r="CB103" s="130">
        <v>0</v>
      </c>
      <c r="CC103" s="130">
        <v>0</v>
      </c>
      <c r="CD103" s="130">
        <v>1</v>
      </c>
      <c r="CE103" s="130">
        <v>0</v>
      </c>
      <c r="CF103" s="130">
        <v>1</v>
      </c>
      <c r="CG103" s="130">
        <v>0</v>
      </c>
      <c r="CH103" s="220">
        <f>+CF103+CG103</f>
        <v>1</v>
      </c>
    </row>
    <row r="104" spans="1:86" x14ac:dyDescent="0.25">
      <c r="A104" s="14">
        <v>978</v>
      </c>
      <c r="B104" s="2" t="s">
        <v>217</v>
      </c>
      <c r="C104" s="22"/>
      <c r="D104" s="183"/>
      <c r="E104" s="16"/>
      <c r="F104" s="16"/>
      <c r="G104" s="17"/>
      <c r="H104" s="17"/>
      <c r="I104" s="17"/>
      <c r="J104" s="17"/>
      <c r="K104" s="136"/>
      <c r="L104" s="136"/>
      <c r="M104" s="136"/>
      <c r="N104" s="136"/>
      <c r="O104" s="136"/>
      <c r="P104" s="136"/>
      <c r="Q104" s="183"/>
      <c r="R104" s="183"/>
      <c r="S104" s="183"/>
      <c r="T104" s="183"/>
      <c r="U104" s="183"/>
      <c r="V104" s="183"/>
      <c r="W104" s="183"/>
      <c r="X104" s="18"/>
      <c r="Y104" s="18"/>
      <c r="Z104" s="19"/>
      <c r="AA104" s="19"/>
      <c r="AB104" s="19"/>
      <c r="AC104" s="19"/>
      <c r="AD104" s="130"/>
      <c r="AE104" s="130"/>
      <c r="AF104" s="130"/>
      <c r="AG104" s="130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>
        <v>1</v>
      </c>
      <c r="AV104" s="185"/>
      <c r="AW104" s="185"/>
      <c r="AX104" s="132">
        <v>0</v>
      </c>
      <c r="AY104" s="185">
        <v>1</v>
      </c>
      <c r="AZ104" s="131">
        <v>0</v>
      </c>
      <c r="BA104" s="131"/>
      <c r="BB104" s="130"/>
      <c r="BC104" s="130"/>
      <c r="BD104" s="130"/>
      <c r="BE104" s="130"/>
      <c r="BF104" s="130"/>
      <c r="BG104" s="130"/>
      <c r="BH104" s="130"/>
      <c r="BI104" s="130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85"/>
      <c r="BV104" s="185"/>
      <c r="BW104" s="185"/>
      <c r="BX104" s="185"/>
      <c r="BY104" s="185"/>
      <c r="BZ104" s="132"/>
      <c r="CA104" s="185"/>
      <c r="CB104" s="130">
        <v>0</v>
      </c>
      <c r="CC104" s="130">
        <v>0</v>
      </c>
      <c r="CD104" s="130">
        <v>1</v>
      </c>
      <c r="CE104" s="130">
        <v>0</v>
      </c>
      <c r="CF104" s="130">
        <v>1</v>
      </c>
      <c r="CG104" s="130">
        <v>0</v>
      </c>
      <c r="CH104" s="220">
        <f>+CF104+CG104</f>
        <v>1</v>
      </c>
    </row>
    <row r="105" spans="1:86" x14ac:dyDescent="0.25">
      <c r="A105" s="14">
        <v>987</v>
      </c>
      <c r="B105" s="2" t="s">
        <v>218</v>
      </c>
      <c r="C105" s="22"/>
      <c r="D105" s="186"/>
      <c r="E105" s="16"/>
      <c r="F105" s="16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86"/>
      <c r="R105" s="186"/>
      <c r="S105" s="186"/>
      <c r="T105" s="186"/>
      <c r="U105" s="186"/>
      <c r="V105" s="186"/>
      <c r="W105" s="186"/>
      <c r="X105" s="18"/>
      <c r="Y105" s="18"/>
      <c r="Z105" s="19"/>
      <c r="AA105" s="19"/>
      <c r="AB105" s="19"/>
      <c r="AC105" s="19"/>
      <c r="AD105" s="19"/>
      <c r="AE105" s="19"/>
      <c r="AF105" s="19"/>
      <c r="AG105" s="19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5">
        <v>1</v>
      </c>
      <c r="AV105" s="185"/>
      <c r="AW105" s="187"/>
      <c r="AX105" s="132">
        <v>0</v>
      </c>
      <c r="AY105" s="187">
        <v>1</v>
      </c>
      <c r="AZ105" s="18">
        <v>0</v>
      </c>
      <c r="BA105" s="18"/>
      <c r="BB105" s="19"/>
      <c r="BC105" s="19"/>
      <c r="BD105" s="19"/>
      <c r="BE105" s="19"/>
      <c r="BF105" s="19"/>
      <c r="BG105" s="19"/>
      <c r="BH105" s="19"/>
      <c r="BI105" s="19"/>
      <c r="BJ105" s="187"/>
      <c r="BK105" s="187"/>
      <c r="BL105" s="187"/>
      <c r="BM105" s="187"/>
      <c r="BN105" s="187"/>
      <c r="BO105" s="185"/>
      <c r="BP105" s="185"/>
      <c r="BQ105" s="185"/>
      <c r="BR105" s="185"/>
      <c r="BS105" s="185"/>
      <c r="BT105" s="185"/>
      <c r="BU105" s="185"/>
      <c r="BV105" s="185"/>
      <c r="BW105" s="185"/>
      <c r="BX105" s="185"/>
      <c r="BY105" s="185"/>
      <c r="BZ105" s="132"/>
      <c r="CA105" s="185"/>
      <c r="CB105" s="19">
        <v>0</v>
      </c>
      <c r="CC105" s="19">
        <v>0</v>
      </c>
      <c r="CD105" s="19">
        <v>1</v>
      </c>
      <c r="CE105" s="19">
        <v>0</v>
      </c>
      <c r="CF105" s="19">
        <v>1</v>
      </c>
      <c r="CG105" s="19">
        <v>0</v>
      </c>
      <c r="CH105" s="220">
        <f>+CF105+CG105</f>
        <v>1</v>
      </c>
    </row>
  </sheetData>
  <sortState xmlns:xlrd2="http://schemas.microsoft.com/office/spreadsheetml/2017/richdata2" ref="A4:CJ105">
    <sortCondition descending="1" ref="CH4:CH105"/>
    <sortCondition ref="A4:A105"/>
  </sortState>
  <mergeCells count="2">
    <mergeCell ref="X2:AY2"/>
    <mergeCell ref="AZ2:CA2"/>
  </mergeCells>
  <phoneticPr fontId="5" type="noConversion"/>
  <printOptions horizontalCentered="1" verticalCentered="1"/>
  <pageMargins left="2.1653543307086616" right="0" top="0.55118110236220474" bottom="0.43307086614173229" header="0.19685039370078741" footer="0.31496062992125984"/>
  <pageSetup paperSize="9" scale="40" orientation="landscape" horizontalDpi="300" verticalDpi="300" r:id="rId1"/>
  <headerFooter alignWithMargins="0">
    <oddHeader>&amp;C&amp;"Book Antiqua,Normal"&amp;14&amp;EFICHIERS CADRANS SOLAIRES FRANÇAIS
1998</oddHeader>
    <oddFooter>&amp;L&amp;8Ajustement = Disparus, doublons ou restaurés&amp;R&amp;9&amp;D - S.GREGORI (01 39 74 49 29)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82"/>
  <sheetViews>
    <sheetView tabSelected="1" workbookViewId="0">
      <selection activeCell="F7" sqref="F7"/>
    </sheetView>
  </sheetViews>
  <sheetFormatPr baseColWidth="10" defaultRowHeight="13.2" outlineLevelCol="1" x14ac:dyDescent="0.25"/>
  <cols>
    <col min="1" max="1" width="6.109375" customWidth="1"/>
    <col min="2" max="2" width="5.5546875" customWidth="1"/>
    <col min="3" max="3" width="3.5546875" style="29" hidden="1" customWidth="1" outlineLevel="1"/>
    <col min="4" max="4" width="11.44140625" style="2" customWidth="1" collapsed="1"/>
    <col min="5" max="5" width="10.109375" style="2" customWidth="1"/>
    <col min="6" max="6" width="5" style="31" customWidth="1"/>
    <col min="7" max="7" width="6.5546875" style="102" bestFit="1" customWidth="1"/>
    <col min="8" max="8" width="5.33203125" style="3" customWidth="1"/>
    <col min="9" max="9" width="6.5546875" style="32" bestFit="1" customWidth="1"/>
    <col min="10" max="10" width="5.5546875" style="3" customWidth="1"/>
    <col min="11" max="11" width="3.5546875" style="2" hidden="1" customWidth="1" outlineLevel="1"/>
    <col min="12" max="12" width="11.44140625" style="2" customWidth="1" collapsed="1"/>
    <col min="13" max="13" width="10.109375" customWidth="1"/>
    <col min="14" max="14" width="5" style="31" customWidth="1"/>
    <col min="15" max="15" width="6.33203125" style="102" customWidth="1"/>
    <col min="16" max="16" width="5.6640625" style="3" customWidth="1"/>
    <col min="17" max="17" width="6.33203125" style="32" customWidth="1"/>
    <col min="18" max="18" width="5.5546875" style="3" customWidth="1"/>
    <col min="19" max="19" width="3.5546875" style="2" hidden="1" customWidth="1" outlineLevel="1"/>
    <col min="20" max="20" width="11.44140625" style="2" customWidth="1" collapsed="1"/>
    <col min="21" max="21" width="10.109375" customWidth="1"/>
    <col min="22" max="22" width="5" style="31" customWidth="1"/>
    <col min="23" max="23" width="6.33203125" style="102" customWidth="1"/>
    <col min="24" max="24" width="5.6640625" style="3" customWidth="1"/>
    <col min="25" max="25" width="6.33203125" style="32" customWidth="1"/>
  </cols>
  <sheetData>
    <row r="1" spans="2:25" x14ac:dyDescent="0.25">
      <c r="D1" s="30"/>
      <c r="G1" s="101"/>
      <c r="L1" s="30"/>
      <c r="O1" s="101"/>
      <c r="T1" s="30"/>
      <c r="W1" s="101"/>
    </row>
    <row r="2" spans="2:25" ht="13.8" thickBot="1" x14ac:dyDescent="0.3">
      <c r="G2" s="7"/>
      <c r="H2" s="7"/>
      <c r="I2" s="33"/>
      <c r="J2" s="34"/>
      <c r="O2" s="7"/>
      <c r="P2" s="7"/>
      <c r="Q2" s="33"/>
      <c r="R2" s="34"/>
      <c r="W2" s="7"/>
      <c r="X2" s="7"/>
      <c r="Y2" s="33"/>
    </row>
    <row r="3" spans="2:25" ht="45" customHeight="1" x14ac:dyDescent="0.25">
      <c r="B3" s="35" t="s">
        <v>106</v>
      </c>
      <c r="C3" s="36" t="s">
        <v>107</v>
      </c>
      <c r="D3" s="37" t="s">
        <v>108</v>
      </c>
      <c r="E3" s="38"/>
      <c r="F3" s="40" t="s">
        <v>109</v>
      </c>
      <c r="G3" s="231">
        <v>2022</v>
      </c>
      <c r="H3" s="231">
        <v>2023</v>
      </c>
      <c r="I3" s="41" t="s">
        <v>110</v>
      </c>
      <c r="J3" s="35" t="s">
        <v>106</v>
      </c>
      <c r="K3" s="36" t="s">
        <v>107</v>
      </c>
      <c r="L3" s="37" t="s">
        <v>108</v>
      </c>
      <c r="M3" s="38"/>
      <c r="N3" s="40" t="s">
        <v>109</v>
      </c>
      <c r="O3" s="231">
        <v>2022</v>
      </c>
      <c r="P3" s="231">
        <v>2023</v>
      </c>
      <c r="Q3" s="41" t="s">
        <v>110</v>
      </c>
      <c r="R3" s="35" t="s">
        <v>106</v>
      </c>
      <c r="S3" s="36" t="s">
        <v>107</v>
      </c>
      <c r="T3" s="37" t="s">
        <v>108</v>
      </c>
      <c r="U3" s="38"/>
      <c r="V3" s="40" t="s">
        <v>109</v>
      </c>
      <c r="W3" s="231">
        <v>2022</v>
      </c>
      <c r="X3" s="231">
        <v>2023</v>
      </c>
      <c r="Y3" s="41" t="s">
        <v>110</v>
      </c>
    </row>
    <row r="4" spans="2:25" x14ac:dyDescent="0.25">
      <c r="B4" s="42" t="s">
        <v>111</v>
      </c>
      <c r="C4" s="43">
        <v>17</v>
      </c>
      <c r="D4" s="2" t="s">
        <v>21</v>
      </c>
      <c r="E4" s="44"/>
      <c r="F4" s="47">
        <f>VLOOKUP(D4,BaseC,3,0)</f>
        <v>-1</v>
      </c>
      <c r="G4" s="48">
        <f>VLOOKUP(D4,BaseC,81,0)</f>
        <v>2000</v>
      </c>
      <c r="H4" s="19">
        <f>VLOOKUP(D4,BaseC,82,0)</f>
        <v>4</v>
      </c>
      <c r="I4" s="21">
        <f>G4+F4+H4</f>
        <v>2003</v>
      </c>
      <c r="J4" s="42"/>
      <c r="K4" s="43"/>
      <c r="L4" s="23" t="s">
        <v>104</v>
      </c>
      <c r="M4" s="44"/>
      <c r="N4" s="49">
        <f>+F51</f>
        <v>-64</v>
      </c>
      <c r="O4" s="50">
        <f>+G51</f>
        <v>24276</v>
      </c>
      <c r="P4" s="107">
        <f>+H51</f>
        <v>410</v>
      </c>
      <c r="Q4" s="51">
        <f>+I51</f>
        <v>25213</v>
      </c>
      <c r="R4" s="42"/>
      <c r="S4" s="43"/>
      <c r="T4" s="23" t="s">
        <v>104</v>
      </c>
      <c r="U4" s="44"/>
      <c r="V4" s="49">
        <f>+N51</f>
        <v>-92</v>
      </c>
      <c r="W4" s="50">
        <f>+O51</f>
        <v>32588</v>
      </c>
      <c r="X4" s="107">
        <f>+P51</f>
        <v>504</v>
      </c>
      <c r="Y4" s="51">
        <f>+Q51</f>
        <v>33591</v>
      </c>
    </row>
    <row r="5" spans="2:25" x14ac:dyDescent="0.25">
      <c r="B5" s="42">
        <v>2</v>
      </c>
      <c r="C5" s="43">
        <v>5</v>
      </c>
      <c r="D5" s="2" t="s">
        <v>9</v>
      </c>
      <c r="E5" s="44"/>
      <c r="F5" s="47">
        <f t="shared" ref="F5:F41" si="0">VLOOKUP(D5,BaseC,3,0)</f>
        <v>-3</v>
      </c>
      <c r="G5" s="48">
        <f>VLOOKUP(D5,BaseC,81,0)</f>
        <v>1382</v>
      </c>
      <c r="H5" s="19">
        <f>VLOOKUP(D5,BaseC,82,0)</f>
        <v>10</v>
      </c>
      <c r="I5" s="21">
        <f t="shared" ref="I5:I41" si="1">G5+F5+H5</f>
        <v>1389</v>
      </c>
      <c r="J5" s="42">
        <v>44</v>
      </c>
      <c r="K5" s="43">
        <v>10</v>
      </c>
      <c r="L5" s="2" t="s">
        <v>14</v>
      </c>
      <c r="M5" s="52"/>
      <c r="N5" s="47">
        <f t="shared" ref="N5:N7" si="2">VLOOKUP(L5,BaseC,3,0)</f>
        <v>0</v>
      </c>
      <c r="O5" s="48">
        <f>VLOOKUP(L5,BaseC,81,0)</f>
        <v>284</v>
      </c>
      <c r="P5" s="19">
        <f>VLOOKUP(L5,BaseC,82,0)</f>
        <v>2</v>
      </c>
      <c r="Q5" s="21">
        <f t="shared" ref="Q5:Q7" si="3">O5+N5+P5</f>
        <v>286</v>
      </c>
      <c r="R5" s="42">
        <v>86</v>
      </c>
      <c r="S5" s="43">
        <v>43</v>
      </c>
      <c r="T5" s="2" t="s">
        <v>46</v>
      </c>
      <c r="U5" s="52"/>
      <c r="V5" s="47">
        <f>VLOOKUP(T5,BaseC,3,0)</f>
        <v>0</v>
      </c>
      <c r="W5" s="48">
        <f>VLOOKUP(T5,BaseC,81,0)</f>
        <v>95</v>
      </c>
      <c r="X5" s="19">
        <f>VLOOKUP(T5,BaseC,82,0)</f>
        <v>0</v>
      </c>
      <c r="Y5" s="21">
        <f>W5+V5+X5</f>
        <v>95</v>
      </c>
    </row>
    <row r="6" spans="2:25" x14ac:dyDescent="0.25">
      <c r="B6" s="42">
        <f t="shared" ref="B6:B49" si="4">+B5+1</f>
        <v>3</v>
      </c>
      <c r="C6" s="43">
        <v>66</v>
      </c>
      <c r="D6" s="2" t="s">
        <v>69</v>
      </c>
      <c r="E6" s="44"/>
      <c r="F6" s="47">
        <f t="shared" si="0"/>
        <v>0</v>
      </c>
      <c r="G6" s="48">
        <f>VLOOKUP(D6,BaseC,81,0)</f>
        <v>1130</v>
      </c>
      <c r="H6" s="19">
        <f>VLOOKUP(D6,BaseC,82,0)</f>
        <v>5</v>
      </c>
      <c r="I6" s="21">
        <f t="shared" si="1"/>
        <v>1135</v>
      </c>
      <c r="J6" s="42">
        <f t="shared" ref="J6:J46" si="5">+J5+1</f>
        <v>45</v>
      </c>
      <c r="K6" s="43">
        <v>75</v>
      </c>
      <c r="L6" s="2" t="s">
        <v>78</v>
      </c>
      <c r="M6" s="52"/>
      <c r="N6" s="47">
        <f t="shared" si="2"/>
        <v>-6</v>
      </c>
      <c r="O6" s="48">
        <f>VLOOKUP(L6,BaseC,81,0)</f>
        <v>279</v>
      </c>
      <c r="P6" s="19">
        <f>VLOOKUP(L6,BaseC,82,0)</f>
        <v>8</v>
      </c>
      <c r="Q6" s="21">
        <f t="shared" si="3"/>
        <v>281</v>
      </c>
      <c r="R6" s="42">
        <f t="shared" ref="R6:R20" si="6">+R5+1</f>
        <v>87</v>
      </c>
      <c r="S6" s="43">
        <v>59</v>
      </c>
      <c r="T6" s="2" t="s">
        <v>62</v>
      </c>
      <c r="U6" s="44"/>
      <c r="V6" s="47">
        <f t="shared" ref="V6:V21" si="7">VLOOKUP(T6,BaseC,3,0)</f>
        <v>0</v>
      </c>
      <c r="W6" s="48">
        <f>VLOOKUP(T6,BaseC,81,0)</f>
        <v>88</v>
      </c>
      <c r="X6" s="19">
        <f>VLOOKUP(T6,BaseC,82,0)</f>
        <v>0</v>
      </c>
      <c r="Y6" s="21">
        <f t="shared" ref="Y6:Y21" si="8">W6+V6+X6</f>
        <v>88</v>
      </c>
    </row>
    <row r="7" spans="2:25" x14ac:dyDescent="0.25">
      <c r="B7" s="42">
        <f t="shared" si="4"/>
        <v>4</v>
      </c>
      <c r="C7" s="43">
        <v>84</v>
      </c>
      <c r="D7" s="2" t="s">
        <v>87</v>
      </c>
      <c r="E7" s="44"/>
      <c r="F7" s="47">
        <f t="shared" si="0"/>
        <v>-3</v>
      </c>
      <c r="G7" s="48">
        <f>VLOOKUP(D7,BaseC,81,0)</f>
        <v>1059</v>
      </c>
      <c r="H7" s="19">
        <f>VLOOKUP(D7,BaseC,82,0)</f>
        <v>13</v>
      </c>
      <c r="I7" s="21">
        <f t="shared" si="1"/>
        <v>1069</v>
      </c>
      <c r="J7" s="42">
        <f t="shared" si="5"/>
        <v>46</v>
      </c>
      <c r="K7" s="43">
        <v>32</v>
      </c>
      <c r="L7" s="2" t="s">
        <v>35</v>
      </c>
      <c r="M7" s="52"/>
      <c r="N7" s="47">
        <f t="shared" si="2"/>
        <v>0</v>
      </c>
      <c r="O7" s="48">
        <f>VLOOKUP(L7,BaseC,81,0)</f>
        <v>278</v>
      </c>
      <c r="P7" s="19">
        <f>VLOOKUP(L7,BaseC,82,0)</f>
        <v>2</v>
      </c>
      <c r="Q7" s="21">
        <f t="shared" si="3"/>
        <v>280</v>
      </c>
      <c r="R7" s="42">
        <f t="shared" si="6"/>
        <v>88</v>
      </c>
      <c r="S7" s="43" t="s">
        <v>207</v>
      </c>
      <c r="T7" s="2" t="s">
        <v>209</v>
      </c>
      <c r="U7" s="44"/>
      <c r="V7" s="47">
        <f t="shared" si="7"/>
        <v>0</v>
      </c>
      <c r="W7" s="48">
        <f>VLOOKUP(T7,BaseC,81,0)</f>
        <v>84</v>
      </c>
      <c r="X7" s="19">
        <f>VLOOKUP(T7,BaseC,82,0)</f>
        <v>1</v>
      </c>
      <c r="Y7" s="21">
        <f t="shared" si="8"/>
        <v>85</v>
      </c>
    </row>
    <row r="8" spans="2:25" x14ac:dyDescent="0.25">
      <c r="B8" s="42">
        <f t="shared" si="4"/>
        <v>5</v>
      </c>
      <c r="C8" s="43">
        <v>6</v>
      </c>
      <c r="D8" s="2" t="s">
        <v>10</v>
      </c>
      <c r="E8" s="44"/>
      <c r="F8" s="47">
        <f t="shared" si="0"/>
        <v>-1</v>
      </c>
      <c r="G8" s="48">
        <f>VLOOKUP(D8,BaseC,81,0)</f>
        <v>1052</v>
      </c>
      <c r="H8" s="19">
        <f>VLOOKUP(D8,BaseC,82,0)</f>
        <v>10</v>
      </c>
      <c r="I8" s="21">
        <f t="shared" si="1"/>
        <v>1061</v>
      </c>
      <c r="J8" s="42">
        <f t="shared" si="5"/>
        <v>47</v>
      </c>
      <c r="K8" s="43">
        <v>28</v>
      </c>
      <c r="L8" s="2" t="s">
        <v>31</v>
      </c>
      <c r="M8" s="44"/>
      <c r="N8" s="47">
        <f t="shared" ref="N8:N46" si="9">VLOOKUP(L8,BaseC,3,0)</f>
        <v>-1</v>
      </c>
      <c r="O8" s="48">
        <f>VLOOKUP(L8,BaseC,81,0)</f>
        <v>279</v>
      </c>
      <c r="P8" s="19">
        <f>VLOOKUP(L8,BaseC,82,0)</f>
        <v>1</v>
      </c>
      <c r="Q8" s="21">
        <f>O8+N8+P8</f>
        <v>279</v>
      </c>
      <c r="R8" s="42">
        <f t="shared" si="6"/>
        <v>89</v>
      </c>
      <c r="S8" s="43">
        <v>65</v>
      </c>
      <c r="T8" s="2" t="s">
        <v>68</v>
      </c>
      <c r="U8" s="52"/>
      <c r="V8" s="47">
        <f t="shared" si="7"/>
        <v>0</v>
      </c>
      <c r="W8" s="48">
        <f>VLOOKUP(T8,BaseC,81,0)</f>
        <v>80</v>
      </c>
      <c r="X8" s="19">
        <f>VLOOKUP(T8,BaseC,82,0)</f>
        <v>1</v>
      </c>
      <c r="Y8" s="21">
        <f t="shared" si="8"/>
        <v>81</v>
      </c>
    </row>
    <row r="9" spans="2:25" x14ac:dyDescent="0.25">
      <c r="B9" s="42">
        <f t="shared" si="4"/>
        <v>6</v>
      </c>
      <c r="C9" s="43">
        <v>83</v>
      </c>
      <c r="D9" s="2" t="s">
        <v>86</v>
      </c>
      <c r="E9" s="52"/>
      <c r="F9" s="47">
        <f t="shared" si="0"/>
        <v>-2</v>
      </c>
      <c r="G9" s="48">
        <f>VLOOKUP(D9,BaseC,81,0)</f>
        <v>967</v>
      </c>
      <c r="H9" s="19">
        <f>VLOOKUP(D9,BaseC,82,0)</f>
        <v>4</v>
      </c>
      <c r="I9" s="21">
        <f t="shared" si="1"/>
        <v>969</v>
      </c>
      <c r="J9" s="42">
        <f t="shared" si="5"/>
        <v>48</v>
      </c>
      <c r="K9" s="43">
        <v>49</v>
      </c>
      <c r="L9" s="2" t="s">
        <v>52</v>
      </c>
      <c r="M9" s="52"/>
      <c r="N9" s="47">
        <f t="shared" si="9"/>
        <v>-1</v>
      </c>
      <c r="O9" s="48">
        <f>VLOOKUP(L9,BaseC,81,0)</f>
        <v>271</v>
      </c>
      <c r="P9" s="19">
        <f>VLOOKUP(L9,BaseC,82,0)</f>
        <v>8</v>
      </c>
      <c r="Q9" s="21">
        <f t="shared" ref="Q9:Q46" si="10">O9+N9+P9</f>
        <v>278</v>
      </c>
      <c r="R9" s="42">
        <f t="shared" si="6"/>
        <v>90</v>
      </c>
      <c r="S9" s="43">
        <v>82</v>
      </c>
      <c r="T9" s="2" t="s">
        <v>85</v>
      </c>
      <c r="U9" s="44"/>
      <c r="V9" s="47">
        <f t="shared" si="7"/>
        <v>-1</v>
      </c>
      <c r="W9" s="48">
        <f>VLOOKUP(T9,BaseC,81,0)</f>
        <v>73</v>
      </c>
      <c r="X9" s="19">
        <f>VLOOKUP(T9,BaseC,82,0)</f>
        <v>1</v>
      </c>
      <c r="Y9" s="21">
        <f t="shared" si="8"/>
        <v>73</v>
      </c>
    </row>
    <row r="10" spans="2:25" x14ac:dyDescent="0.25">
      <c r="B10" s="42">
        <f t="shared" si="4"/>
        <v>7</v>
      </c>
      <c r="C10" s="43">
        <v>13</v>
      </c>
      <c r="D10" s="2" t="s">
        <v>17</v>
      </c>
      <c r="E10" s="44"/>
      <c r="F10" s="47">
        <f t="shared" si="0"/>
        <v>-3</v>
      </c>
      <c r="G10" s="48">
        <f>VLOOKUP(D10,BaseC,81,0)</f>
        <v>827</v>
      </c>
      <c r="H10" s="19">
        <f>VLOOKUP(D10,BaseC,82,0)</f>
        <v>11</v>
      </c>
      <c r="I10" s="21">
        <f t="shared" si="1"/>
        <v>835</v>
      </c>
      <c r="J10" s="42">
        <f t="shared" si="5"/>
        <v>49</v>
      </c>
      <c r="K10" s="43">
        <v>74</v>
      </c>
      <c r="L10" s="2" t="s">
        <v>77</v>
      </c>
      <c r="M10" s="44"/>
      <c r="N10" s="47">
        <f t="shared" si="9"/>
        <v>0</v>
      </c>
      <c r="O10" s="48">
        <f>VLOOKUP(L10,BaseC,81,0)</f>
        <v>271</v>
      </c>
      <c r="P10" s="19">
        <f>VLOOKUP(L10,BaseC,82,0)</f>
        <v>1</v>
      </c>
      <c r="Q10" s="21">
        <f t="shared" si="10"/>
        <v>272</v>
      </c>
      <c r="R10" s="42">
        <f t="shared" si="6"/>
        <v>91</v>
      </c>
      <c r="S10" s="43">
        <v>40</v>
      </c>
      <c r="T10" s="2" t="s">
        <v>43</v>
      </c>
      <c r="U10" s="44"/>
      <c r="V10" s="47">
        <f t="shared" si="7"/>
        <v>0</v>
      </c>
      <c r="W10" s="48">
        <f>VLOOKUP(T10,BaseC,81,0)</f>
        <v>70</v>
      </c>
      <c r="X10" s="19">
        <f>VLOOKUP(T10,BaseC,82,0)</f>
        <v>2</v>
      </c>
      <c r="Y10" s="21">
        <f t="shared" si="8"/>
        <v>72</v>
      </c>
    </row>
    <row r="11" spans="2:25" x14ac:dyDescent="0.25">
      <c r="B11" s="42">
        <f t="shared" si="4"/>
        <v>8</v>
      </c>
      <c r="C11" s="43">
        <v>30</v>
      </c>
      <c r="D11" s="2" t="s">
        <v>33</v>
      </c>
      <c r="E11" s="52"/>
      <c r="F11" s="47">
        <f t="shared" si="0"/>
        <v>-1</v>
      </c>
      <c r="G11" s="48">
        <f>VLOOKUP(D11,BaseC,81,0)</f>
        <v>814</v>
      </c>
      <c r="H11" s="19">
        <f>VLOOKUP(D11,BaseC,82,0)</f>
        <v>3</v>
      </c>
      <c r="I11" s="21">
        <f t="shared" si="1"/>
        <v>816</v>
      </c>
      <c r="J11" s="42">
        <f t="shared" si="5"/>
        <v>50</v>
      </c>
      <c r="K11" s="43">
        <v>72</v>
      </c>
      <c r="L11" s="2" t="s">
        <v>75</v>
      </c>
      <c r="M11" s="44"/>
      <c r="N11" s="47">
        <f t="shared" si="9"/>
        <v>-1</v>
      </c>
      <c r="O11" s="48">
        <f>VLOOKUP(L11,BaseC,81,0)</f>
        <v>260</v>
      </c>
      <c r="P11" s="19">
        <f>VLOOKUP(L11,BaseC,82,0)</f>
        <v>8</v>
      </c>
      <c r="Q11" s="21">
        <f t="shared" si="10"/>
        <v>267</v>
      </c>
      <c r="R11" s="42">
        <f t="shared" si="6"/>
        <v>92</v>
      </c>
      <c r="S11" s="43">
        <v>87</v>
      </c>
      <c r="T11" s="2" t="s">
        <v>90</v>
      </c>
      <c r="U11" s="44"/>
      <c r="V11" s="47">
        <f t="shared" si="7"/>
        <v>0</v>
      </c>
      <c r="W11" s="48">
        <f>VLOOKUP(T11,BaseC,81,0)</f>
        <v>67</v>
      </c>
      <c r="X11" s="19">
        <f>VLOOKUP(T11,BaseC,82,0)</f>
        <v>1</v>
      </c>
      <c r="Y11" s="21">
        <f t="shared" si="8"/>
        <v>68</v>
      </c>
    </row>
    <row r="12" spans="2:25" x14ac:dyDescent="0.25">
      <c r="B12" s="42">
        <f t="shared" si="4"/>
        <v>9</v>
      </c>
      <c r="C12" s="43">
        <v>4</v>
      </c>
      <c r="D12" s="2" t="s">
        <v>8</v>
      </c>
      <c r="E12" s="44"/>
      <c r="F12" s="47">
        <f t="shared" si="0"/>
        <v>0</v>
      </c>
      <c r="G12" s="48">
        <f>VLOOKUP(D12,BaseC,81,0)</f>
        <v>760</v>
      </c>
      <c r="H12" s="19">
        <f>VLOOKUP(D12,BaseC,82,0)</f>
        <v>24</v>
      </c>
      <c r="I12" s="21">
        <f t="shared" si="1"/>
        <v>784</v>
      </c>
      <c r="J12" s="42">
        <f t="shared" si="5"/>
        <v>51</v>
      </c>
      <c r="K12" s="43">
        <v>15</v>
      </c>
      <c r="L12" s="2" t="s">
        <v>19</v>
      </c>
      <c r="M12" s="44"/>
      <c r="N12" s="47">
        <f t="shared" si="9"/>
        <v>0</v>
      </c>
      <c r="O12" s="48">
        <f>VLOOKUP(L12,BaseC,81,0)</f>
        <v>258</v>
      </c>
      <c r="P12" s="19">
        <f>VLOOKUP(L12,BaseC,82,0)</f>
        <v>1</v>
      </c>
      <c r="Q12" s="21">
        <f t="shared" si="10"/>
        <v>259</v>
      </c>
      <c r="R12" s="42">
        <f t="shared" si="6"/>
        <v>93</v>
      </c>
      <c r="S12" s="43">
        <v>57</v>
      </c>
      <c r="T12" s="2" t="s">
        <v>60</v>
      </c>
      <c r="U12" s="52"/>
      <c r="V12" s="47">
        <f t="shared" si="7"/>
        <v>0</v>
      </c>
      <c r="W12" s="48">
        <f>VLOOKUP(T12,BaseC,81,0)</f>
        <v>64</v>
      </c>
      <c r="X12" s="19">
        <f>VLOOKUP(T12,BaseC,82,0)</f>
        <v>0</v>
      </c>
      <c r="Y12" s="21">
        <f t="shared" si="8"/>
        <v>64</v>
      </c>
    </row>
    <row r="13" spans="2:25" x14ac:dyDescent="0.25">
      <c r="B13" s="42">
        <f t="shared" si="4"/>
        <v>10</v>
      </c>
      <c r="C13" s="43">
        <v>29</v>
      </c>
      <c r="D13" s="2" t="s">
        <v>32</v>
      </c>
      <c r="E13" s="52"/>
      <c r="F13" s="47">
        <f t="shared" si="0"/>
        <v>0</v>
      </c>
      <c r="G13" s="48">
        <f>VLOOKUP(D13,BaseC,81,0)</f>
        <v>766</v>
      </c>
      <c r="H13" s="19">
        <f>VLOOKUP(D13,BaseC,82,0)</f>
        <v>14</v>
      </c>
      <c r="I13" s="21">
        <f t="shared" si="1"/>
        <v>780</v>
      </c>
      <c r="J13" s="42">
        <f t="shared" si="5"/>
        <v>52</v>
      </c>
      <c r="K13" s="43">
        <v>80</v>
      </c>
      <c r="L13" s="2" t="s">
        <v>83</v>
      </c>
      <c r="M13" s="44"/>
      <c r="N13" s="47">
        <f t="shared" si="9"/>
        <v>0</v>
      </c>
      <c r="O13" s="48">
        <f>VLOOKUP(L13,BaseC,81,0)</f>
        <v>251</v>
      </c>
      <c r="P13" s="19">
        <f>VLOOKUP(L13,BaseC,82,0)</f>
        <v>3</v>
      </c>
      <c r="Q13" s="21">
        <f t="shared" si="10"/>
        <v>254</v>
      </c>
      <c r="R13" s="42">
        <f t="shared" si="6"/>
        <v>94</v>
      </c>
      <c r="S13" s="43">
        <v>23</v>
      </c>
      <c r="T13" s="2" t="s">
        <v>26</v>
      </c>
      <c r="U13" s="44"/>
      <c r="V13" s="47">
        <f t="shared" si="7"/>
        <v>0</v>
      </c>
      <c r="W13" s="48">
        <f>VLOOKUP(T13,BaseC,81,0)</f>
        <v>54</v>
      </c>
      <c r="X13" s="19">
        <f>VLOOKUP(T13,BaseC,82,0)</f>
        <v>0</v>
      </c>
      <c r="Y13" s="21">
        <f t="shared" si="8"/>
        <v>54</v>
      </c>
    </row>
    <row r="14" spans="2:25" x14ac:dyDescent="0.25">
      <c r="B14" s="42">
        <f t="shared" si="4"/>
        <v>11</v>
      </c>
      <c r="C14" s="43">
        <v>14</v>
      </c>
      <c r="D14" s="2" t="s">
        <v>18</v>
      </c>
      <c r="E14" s="52"/>
      <c r="F14" s="47">
        <f t="shared" si="0"/>
        <v>-6</v>
      </c>
      <c r="G14" s="48">
        <f>VLOOKUP(D14,BaseC,81,0)</f>
        <v>688</v>
      </c>
      <c r="H14" s="19">
        <f>VLOOKUP(D14,BaseC,82,0)</f>
        <v>77</v>
      </c>
      <c r="I14" s="21">
        <f t="shared" si="1"/>
        <v>759</v>
      </c>
      <c r="J14" s="42">
        <f t="shared" si="5"/>
        <v>53</v>
      </c>
      <c r="K14" s="43">
        <v>35</v>
      </c>
      <c r="L14" s="2" t="s">
        <v>38</v>
      </c>
      <c r="M14" s="44"/>
      <c r="N14" s="47">
        <f t="shared" si="9"/>
        <v>0</v>
      </c>
      <c r="O14" s="48">
        <f>VLOOKUP(L14,BaseC,81,0)</f>
        <v>246</v>
      </c>
      <c r="P14" s="19">
        <f>VLOOKUP(L14,BaseC,82,0)</f>
        <v>3</v>
      </c>
      <c r="Q14" s="21">
        <f t="shared" si="10"/>
        <v>249</v>
      </c>
      <c r="R14" s="42">
        <f t="shared" si="6"/>
        <v>95</v>
      </c>
      <c r="S14" s="43" t="s">
        <v>206</v>
      </c>
      <c r="T14" s="2" t="s">
        <v>208</v>
      </c>
      <c r="U14" s="52"/>
      <c r="V14" s="47">
        <f t="shared" si="7"/>
        <v>-1</v>
      </c>
      <c r="W14" s="48">
        <f>VLOOKUP(T14,BaseC,81,0)</f>
        <v>31</v>
      </c>
      <c r="X14" s="19">
        <f>VLOOKUP(T14,BaseC,82,0)</f>
        <v>1</v>
      </c>
      <c r="Y14" s="21">
        <f t="shared" si="8"/>
        <v>31</v>
      </c>
    </row>
    <row r="15" spans="2:25" x14ac:dyDescent="0.25">
      <c r="B15" s="42">
        <f t="shared" si="4"/>
        <v>12</v>
      </c>
      <c r="C15" s="43">
        <v>50</v>
      </c>
      <c r="D15" s="2" t="s">
        <v>53</v>
      </c>
      <c r="E15" s="52"/>
      <c r="F15" s="47">
        <f t="shared" si="0"/>
        <v>0</v>
      </c>
      <c r="G15" s="48">
        <f>VLOOKUP(D15,BaseC,81,0)</f>
        <v>670</v>
      </c>
      <c r="H15" s="19">
        <f>VLOOKUP(D15,BaseC,82,0)</f>
        <v>12</v>
      </c>
      <c r="I15" s="21">
        <f t="shared" si="1"/>
        <v>682</v>
      </c>
      <c r="J15" s="42">
        <f t="shared" si="5"/>
        <v>54</v>
      </c>
      <c r="K15" s="43">
        <v>52</v>
      </c>
      <c r="L15" s="2" t="s">
        <v>55</v>
      </c>
      <c r="M15" s="52"/>
      <c r="N15" s="47">
        <f t="shared" si="9"/>
        <v>0</v>
      </c>
      <c r="O15" s="48">
        <f>VLOOKUP(L15,BaseC,81,0)</f>
        <v>242</v>
      </c>
      <c r="P15" s="19">
        <f>VLOOKUP(L15,BaseC,82,0)</f>
        <v>0</v>
      </c>
      <c r="Q15" s="21">
        <f t="shared" si="10"/>
        <v>242</v>
      </c>
      <c r="R15" s="42">
        <f t="shared" si="6"/>
        <v>96</v>
      </c>
      <c r="S15" s="43">
        <v>974</v>
      </c>
      <c r="T15" s="2" t="s">
        <v>102</v>
      </c>
      <c r="U15" s="52"/>
      <c r="V15" s="47">
        <f t="shared" si="7"/>
        <v>0</v>
      </c>
      <c r="W15" s="48">
        <f>VLOOKUP(T15,BaseC,81,0)</f>
        <v>18</v>
      </c>
      <c r="X15" s="19">
        <f>VLOOKUP(T15,BaseC,82,0)</f>
        <v>0</v>
      </c>
      <c r="Y15" s="21">
        <f t="shared" si="8"/>
        <v>18</v>
      </c>
    </row>
    <row r="16" spans="2:25" x14ac:dyDescent="0.25">
      <c r="B16" s="42">
        <f t="shared" si="4"/>
        <v>13</v>
      </c>
      <c r="C16" s="43">
        <v>27</v>
      </c>
      <c r="D16" s="2" t="s">
        <v>30</v>
      </c>
      <c r="E16" s="44"/>
      <c r="F16" s="47">
        <f t="shared" si="0"/>
        <v>0</v>
      </c>
      <c r="G16" s="48">
        <f>VLOOKUP(D16,BaseC,81,0)</f>
        <v>586</v>
      </c>
      <c r="H16" s="19">
        <f>VLOOKUP(D16,BaseC,82,0)</f>
        <v>2</v>
      </c>
      <c r="I16" s="21">
        <f t="shared" si="1"/>
        <v>588</v>
      </c>
      <c r="J16" s="42">
        <f t="shared" si="5"/>
        <v>55</v>
      </c>
      <c r="K16" s="43">
        <v>91</v>
      </c>
      <c r="L16" s="2" t="s">
        <v>94</v>
      </c>
      <c r="M16" s="44"/>
      <c r="N16" s="47">
        <f t="shared" si="9"/>
        <v>0</v>
      </c>
      <c r="O16" s="48">
        <f>VLOOKUP(L16,BaseC,81,0)</f>
        <v>232</v>
      </c>
      <c r="P16" s="19">
        <f>VLOOKUP(L16,BaseC,82,0)</f>
        <v>0</v>
      </c>
      <c r="Q16" s="21">
        <f t="shared" si="10"/>
        <v>232</v>
      </c>
      <c r="R16" s="42">
        <f t="shared" si="6"/>
        <v>97</v>
      </c>
      <c r="S16" s="43">
        <v>90</v>
      </c>
      <c r="T16" s="2" t="s">
        <v>93</v>
      </c>
      <c r="U16" s="52"/>
      <c r="V16" s="47">
        <f t="shared" si="7"/>
        <v>0</v>
      </c>
      <c r="W16" s="48">
        <f>VLOOKUP(T16,BaseC,81,0)</f>
        <v>15</v>
      </c>
      <c r="X16" s="19">
        <f>VLOOKUP(T16,BaseC,82,0)</f>
        <v>0</v>
      </c>
      <c r="Y16" s="21">
        <f t="shared" si="8"/>
        <v>15</v>
      </c>
    </row>
    <row r="17" spans="2:25" x14ac:dyDescent="0.25">
      <c r="B17" s="42">
        <f t="shared" si="4"/>
        <v>14</v>
      </c>
      <c r="C17" s="43">
        <v>79</v>
      </c>
      <c r="D17" s="2" t="s">
        <v>82</v>
      </c>
      <c r="E17" s="52"/>
      <c r="F17" s="47">
        <f t="shared" si="0"/>
        <v>-2</v>
      </c>
      <c r="G17" s="48">
        <f>VLOOKUP(D17,BaseC,81,0)</f>
        <v>575</v>
      </c>
      <c r="H17" s="19">
        <f>VLOOKUP(D17,BaseC,82,0)</f>
        <v>5</v>
      </c>
      <c r="I17" s="21">
        <f t="shared" si="1"/>
        <v>578</v>
      </c>
      <c r="J17" s="42">
        <f t="shared" si="5"/>
        <v>56</v>
      </c>
      <c r="K17" s="43">
        <v>46</v>
      </c>
      <c r="L17" s="2" t="s">
        <v>49</v>
      </c>
      <c r="M17" s="44"/>
      <c r="N17" s="47">
        <f t="shared" si="9"/>
        <v>0</v>
      </c>
      <c r="O17" s="48">
        <f>VLOOKUP(L17,BaseC,81,0)</f>
        <v>227</v>
      </c>
      <c r="P17" s="19">
        <f>VLOOKUP(L17,BaseC,82,0)</f>
        <v>3</v>
      </c>
      <c r="Q17" s="21">
        <f t="shared" si="10"/>
        <v>230</v>
      </c>
      <c r="R17" s="42">
        <f t="shared" si="6"/>
        <v>98</v>
      </c>
      <c r="S17" s="43">
        <v>972</v>
      </c>
      <c r="T17" s="2" t="s">
        <v>100</v>
      </c>
      <c r="U17" s="52"/>
      <c r="V17" s="47">
        <f t="shared" si="7"/>
        <v>0</v>
      </c>
      <c r="W17" s="48">
        <f>VLOOKUP(T17,BaseC,81,0)</f>
        <v>2</v>
      </c>
      <c r="X17" s="19">
        <f>VLOOKUP(T17,BaseC,82,0)</f>
        <v>1</v>
      </c>
      <c r="Y17" s="21">
        <f t="shared" si="8"/>
        <v>3</v>
      </c>
    </row>
    <row r="18" spans="2:25" x14ac:dyDescent="0.25">
      <c r="B18" s="42">
        <f t="shared" si="4"/>
        <v>15</v>
      </c>
      <c r="C18" s="43">
        <v>56</v>
      </c>
      <c r="D18" s="2" t="s">
        <v>59</v>
      </c>
      <c r="E18" s="44"/>
      <c r="F18" s="47">
        <f t="shared" si="0"/>
        <v>-1</v>
      </c>
      <c r="G18" s="48">
        <f>VLOOKUP(D18,BaseC,81,0)</f>
        <v>547</v>
      </c>
      <c r="H18" s="19">
        <f>VLOOKUP(D18,BaseC,82,0)</f>
        <v>9</v>
      </c>
      <c r="I18" s="21">
        <f t="shared" si="1"/>
        <v>555</v>
      </c>
      <c r="J18" s="42">
        <f t="shared" si="5"/>
        <v>57</v>
      </c>
      <c r="K18" s="43">
        <v>76</v>
      </c>
      <c r="L18" s="2" t="s">
        <v>79</v>
      </c>
      <c r="M18" s="52"/>
      <c r="N18" s="47">
        <f t="shared" si="9"/>
        <v>0</v>
      </c>
      <c r="O18" s="48">
        <f>VLOOKUP(L18,BaseC,81,0)</f>
        <v>218</v>
      </c>
      <c r="P18" s="19">
        <f>VLOOKUP(L18,BaseC,82,0)</f>
        <v>2</v>
      </c>
      <c r="Q18" s="21">
        <f t="shared" si="10"/>
        <v>220</v>
      </c>
      <c r="R18" s="42">
        <f t="shared" si="6"/>
        <v>99</v>
      </c>
      <c r="S18" s="43">
        <v>971</v>
      </c>
      <c r="T18" s="2" t="s">
        <v>99</v>
      </c>
      <c r="U18" s="44"/>
      <c r="V18" s="47">
        <f t="shared" si="7"/>
        <v>0</v>
      </c>
      <c r="W18" s="48">
        <f>VLOOKUP(T18,BaseC,81,0)</f>
        <v>2</v>
      </c>
      <c r="X18" s="19">
        <f>VLOOKUP(T18,BaseC,82,0)</f>
        <v>0</v>
      </c>
      <c r="Y18" s="21">
        <f t="shared" si="8"/>
        <v>2</v>
      </c>
    </row>
    <row r="19" spans="2:25" x14ac:dyDescent="0.25">
      <c r="B19" s="42">
        <f t="shared" si="4"/>
        <v>16</v>
      </c>
      <c r="C19" s="43">
        <v>77</v>
      </c>
      <c r="D19" s="2" t="s">
        <v>80</v>
      </c>
      <c r="E19" s="44"/>
      <c r="F19" s="47">
        <f t="shared" si="0"/>
        <v>0</v>
      </c>
      <c r="G19" s="48">
        <f>VLOOKUP(D19,BaseC,81,0)</f>
        <v>552</v>
      </c>
      <c r="H19" s="19">
        <f>VLOOKUP(D19,BaseC,82,0)</f>
        <v>1</v>
      </c>
      <c r="I19" s="21">
        <f t="shared" si="1"/>
        <v>553</v>
      </c>
      <c r="J19" s="42">
        <f t="shared" si="5"/>
        <v>58</v>
      </c>
      <c r="K19" s="43">
        <v>19</v>
      </c>
      <c r="L19" s="2" t="s">
        <v>23</v>
      </c>
      <c r="M19" s="44"/>
      <c r="N19" s="47">
        <f t="shared" si="9"/>
        <v>0</v>
      </c>
      <c r="O19" s="48">
        <f>VLOOKUP(L19,BaseC,81,0)</f>
        <v>218</v>
      </c>
      <c r="P19" s="19">
        <f>VLOOKUP(L19,BaseC,82,0)</f>
        <v>1</v>
      </c>
      <c r="Q19" s="21">
        <f t="shared" si="10"/>
        <v>219</v>
      </c>
      <c r="R19" s="42">
        <f t="shared" si="6"/>
        <v>100</v>
      </c>
      <c r="S19" s="43">
        <v>973</v>
      </c>
      <c r="T19" s="2" t="s">
        <v>101</v>
      </c>
      <c r="U19" s="44"/>
      <c r="V19" s="47">
        <f t="shared" si="7"/>
        <v>0</v>
      </c>
      <c r="W19" s="48">
        <f>VLOOKUP(T19,BaseC,81,0)</f>
        <v>1</v>
      </c>
      <c r="X19" s="19">
        <f>VLOOKUP(T19,BaseC,82,0)</f>
        <v>0</v>
      </c>
      <c r="Y19" s="21">
        <f t="shared" si="8"/>
        <v>1</v>
      </c>
    </row>
    <row r="20" spans="2:25" x14ac:dyDescent="0.25">
      <c r="B20" s="42">
        <f t="shared" si="4"/>
        <v>17</v>
      </c>
      <c r="C20" s="43">
        <v>60</v>
      </c>
      <c r="D20" s="2" t="s">
        <v>63</v>
      </c>
      <c r="E20" s="44"/>
      <c r="F20" s="47">
        <f t="shared" si="0"/>
        <v>0</v>
      </c>
      <c r="G20" s="48">
        <f>VLOOKUP(D20,BaseC,81,0)</f>
        <v>538</v>
      </c>
      <c r="H20" s="19">
        <f>VLOOKUP(D20,BaseC,82,0)</f>
        <v>1</v>
      </c>
      <c r="I20" s="21">
        <f t="shared" si="1"/>
        <v>539</v>
      </c>
      <c r="J20" s="42">
        <f t="shared" si="5"/>
        <v>59</v>
      </c>
      <c r="K20" s="43">
        <v>8</v>
      </c>
      <c r="L20" s="2" t="s">
        <v>12</v>
      </c>
      <c r="M20" s="52"/>
      <c r="N20" s="47">
        <f t="shared" si="9"/>
        <v>0</v>
      </c>
      <c r="O20" s="48">
        <f>VLOOKUP(L20,BaseC,81,0)</f>
        <v>216</v>
      </c>
      <c r="P20" s="19">
        <f>VLOOKUP(L20,BaseC,82,0)</f>
        <v>1</v>
      </c>
      <c r="Q20" s="21">
        <f t="shared" si="10"/>
        <v>217</v>
      </c>
      <c r="R20" s="42"/>
      <c r="S20" s="43">
        <v>978</v>
      </c>
      <c r="T20" s="2" t="s">
        <v>217</v>
      </c>
      <c r="U20" s="52"/>
      <c r="V20" s="47">
        <f t="shared" si="7"/>
        <v>0</v>
      </c>
      <c r="W20" s="48">
        <f>VLOOKUP(T20,BaseC,81,0)</f>
        <v>1</v>
      </c>
      <c r="X20" s="19">
        <f>VLOOKUP(T20,BaseC,82,0)</f>
        <v>0</v>
      </c>
      <c r="Y20" s="21">
        <f t="shared" si="8"/>
        <v>1</v>
      </c>
    </row>
    <row r="21" spans="2:25" x14ac:dyDescent="0.25">
      <c r="B21" s="42">
        <f t="shared" si="4"/>
        <v>18</v>
      </c>
      <c r="C21" s="43">
        <v>38</v>
      </c>
      <c r="D21" s="2" t="s">
        <v>41</v>
      </c>
      <c r="E21" s="44"/>
      <c r="F21" s="47">
        <f t="shared" si="0"/>
        <v>-1</v>
      </c>
      <c r="G21" s="48">
        <f>VLOOKUP(D21,BaseC,81,0)</f>
        <v>504</v>
      </c>
      <c r="H21" s="19">
        <f>VLOOKUP(D21,BaseC,82,0)</f>
        <v>28</v>
      </c>
      <c r="I21" s="21">
        <f t="shared" si="1"/>
        <v>531</v>
      </c>
      <c r="J21" s="42">
        <f t="shared" si="5"/>
        <v>60</v>
      </c>
      <c r="K21" s="43">
        <v>9</v>
      </c>
      <c r="L21" s="2" t="s">
        <v>13</v>
      </c>
      <c r="M21" s="44"/>
      <c r="N21" s="47">
        <f t="shared" si="9"/>
        <v>-1</v>
      </c>
      <c r="O21" s="48">
        <f>VLOOKUP(L21,BaseC,81,0)</f>
        <v>210</v>
      </c>
      <c r="P21" s="19">
        <f>VLOOKUP(L21,BaseC,82,0)</f>
        <v>6</v>
      </c>
      <c r="Q21" s="21">
        <f t="shared" si="10"/>
        <v>215</v>
      </c>
      <c r="R21" s="42"/>
      <c r="S21" s="43">
        <v>987</v>
      </c>
      <c r="T21" s="2" t="s">
        <v>218</v>
      </c>
      <c r="U21" s="44"/>
      <c r="V21" s="47">
        <f t="shared" si="7"/>
        <v>0</v>
      </c>
      <c r="W21" s="48">
        <f>VLOOKUP(T21,BaseC,81,0)</f>
        <v>1</v>
      </c>
      <c r="X21" s="19">
        <f>VLOOKUP(T21,BaseC,82,0)</f>
        <v>0</v>
      </c>
      <c r="Y21" s="21">
        <f t="shared" si="8"/>
        <v>1</v>
      </c>
    </row>
    <row r="22" spans="2:25" x14ac:dyDescent="0.25">
      <c r="B22" s="42">
        <f t="shared" si="4"/>
        <v>19</v>
      </c>
      <c r="C22" s="43">
        <v>78</v>
      </c>
      <c r="D22" s="2" t="s">
        <v>81</v>
      </c>
      <c r="E22" s="44"/>
      <c r="F22" s="47">
        <f t="shared" si="0"/>
        <v>0</v>
      </c>
      <c r="G22" s="48">
        <f>VLOOKUP(D22,BaseC,81,0)</f>
        <v>486</v>
      </c>
      <c r="H22" s="19">
        <f>VLOOKUP(D22,BaseC,82,0)</f>
        <v>2</v>
      </c>
      <c r="I22" s="21">
        <f t="shared" si="1"/>
        <v>488</v>
      </c>
      <c r="J22" s="42">
        <f t="shared" si="5"/>
        <v>61</v>
      </c>
      <c r="K22" s="43">
        <v>71</v>
      </c>
      <c r="L22" s="2" t="s">
        <v>74</v>
      </c>
      <c r="M22" s="52"/>
      <c r="N22" s="47">
        <f t="shared" si="9"/>
        <v>-5</v>
      </c>
      <c r="O22" s="48">
        <f>VLOOKUP(L22,BaseC,81,0)</f>
        <v>217</v>
      </c>
      <c r="P22" s="19">
        <f>VLOOKUP(L22,BaseC,82,0)</f>
        <v>1</v>
      </c>
      <c r="Q22" s="21">
        <f t="shared" si="10"/>
        <v>213</v>
      </c>
      <c r="R22" s="42"/>
      <c r="S22" s="43"/>
      <c r="U22" s="52"/>
      <c r="V22" s="47"/>
      <c r="W22" s="48"/>
      <c r="X22" s="19"/>
      <c r="Y22" s="21"/>
    </row>
    <row r="23" spans="2:25" x14ac:dyDescent="0.25">
      <c r="B23" s="42">
        <f t="shared" si="4"/>
        <v>20</v>
      </c>
      <c r="C23" s="43">
        <v>69</v>
      </c>
      <c r="D23" s="2" t="s">
        <v>72</v>
      </c>
      <c r="E23" s="44"/>
      <c r="F23" s="47">
        <f t="shared" si="0"/>
        <v>-15</v>
      </c>
      <c r="G23" s="48">
        <f>VLOOKUP(D23,BaseC,81,0)</f>
        <v>492</v>
      </c>
      <c r="H23" s="19">
        <f>VLOOKUP(D23,BaseC,82,0)</f>
        <v>5</v>
      </c>
      <c r="I23" s="21">
        <f t="shared" si="1"/>
        <v>482</v>
      </c>
      <c r="J23" s="42">
        <f t="shared" si="5"/>
        <v>62</v>
      </c>
      <c r="K23" s="43">
        <v>41</v>
      </c>
      <c r="L23" s="2" t="s">
        <v>44</v>
      </c>
      <c r="M23" s="52"/>
      <c r="N23" s="47">
        <f t="shared" si="9"/>
        <v>0</v>
      </c>
      <c r="O23" s="48">
        <f>VLOOKUP(L23,BaseC,81,0)</f>
        <v>202</v>
      </c>
      <c r="P23" s="19">
        <f>VLOOKUP(L23,BaseC,82,0)</f>
        <v>2</v>
      </c>
      <c r="Q23" s="21">
        <f t="shared" si="10"/>
        <v>204</v>
      </c>
      <c r="R23" s="42"/>
      <c r="S23" s="43"/>
      <c r="U23" s="52"/>
      <c r="V23" s="47"/>
      <c r="W23" s="48"/>
      <c r="X23" s="19"/>
      <c r="Y23" s="21"/>
    </row>
    <row r="24" spans="2:25" x14ac:dyDescent="0.25">
      <c r="B24" s="42">
        <f t="shared" si="4"/>
        <v>21</v>
      </c>
      <c r="C24" s="43">
        <v>34</v>
      </c>
      <c r="D24" s="2" t="s">
        <v>37</v>
      </c>
      <c r="E24" s="52"/>
      <c r="F24" s="47">
        <f t="shared" si="0"/>
        <v>-6</v>
      </c>
      <c r="G24" s="48">
        <f>VLOOKUP(D24,BaseC,81,0)</f>
        <v>432</v>
      </c>
      <c r="H24" s="19">
        <f>VLOOKUP(D24,BaseC,82,0)</f>
        <v>50</v>
      </c>
      <c r="I24" s="21">
        <f t="shared" si="1"/>
        <v>476</v>
      </c>
      <c r="J24" s="42">
        <f t="shared" si="5"/>
        <v>63</v>
      </c>
      <c r="K24" s="43">
        <v>64</v>
      </c>
      <c r="L24" s="2" t="s">
        <v>67</v>
      </c>
      <c r="M24" s="44"/>
      <c r="N24" s="47">
        <f t="shared" si="9"/>
        <v>0</v>
      </c>
      <c r="O24" s="48">
        <f>VLOOKUP(L24,BaseC,81,0)</f>
        <v>200</v>
      </c>
      <c r="P24" s="19">
        <f>VLOOKUP(L24,BaseC,82,0)</f>
        <v>1</v>
      </c>
      <c r="Q24" s="21">
        <f t="shared" si="10"/>
        <v>201</v>
      </c>
      <c r="R24" s="42"/>
      <c r="S24" s="43"/>
      <c r="U24" s="44"/>
      <c r="V24" s="47"/>
      <c r="W24" s="48"/>
      <c r="X24" s="19"/>
      <c r="Y24" s="21"/>
    </row>
    <row r="25" spans="2:25" x14ac:dyDescent="0.25">
      <c r="B25" s="42">
        <f t="shared" si="4"/>
        <v>22</v>
      </c>
      <c r="C25" s="43">
        <v>89</v>
      </c>
      <c r="D25" s="2" t="s">
        <v>92</v>
      </c>
      <c r="E25" s="52"/>
      <c r="F25" s="47">
        <f t="shared" si="0"/>
        <v>-2</v>
      </c>
      <c r="G25" s="48">
        <f>VLOOKUP(D25,BaseC,81,0)</f>
        <v>451</v>
      </c>
      <c r="H25" s="19">
        <f>VLOOKUP(D25,BaseC,82,0)</f>
        <v>17</v>
      </c>
      <c r="I25" s="21">
        <f t="shared" si="1"/>
        <v>466</v>
      </c>
      <c r="J25" s="42">
        <f t="shared" si="5"/>
        <v>64</v>
      </c>
      <c r="K25" s="43">
        <v>44</v>
      </c>
      <c r="L25" s="2" t="s">
        <v>47</v>
      </c>
      <c r="M25" s="44"/>
      <c r="N25" s="47">
        <f t="shared" si="9"/>
        <v>0</v>
      </c>
      <c r="O25" s="48">
        <f>VLOOKUP(L25,BaseC,81,0)</f>
        <v>198</v>
      </c>
      <c r="P25" s="19">
        <f>VLOOKUP(L25,BaseC,82,0)</f>
        <v>1</v>
      </c>
      <c r="Q25" s="21">
        <f t="shared" si="10"/>
        <v>199</v>
      </c>
      <c r="R25" s="42"/>
      <c r="S25" s="43"/>
      <c r="U25" s="44"/>
      <c r="V25" s="47"/>
      <c r="W25" s="48"/>
      <c r="X25" s="19"/>
      <c r="Y25" s="21"/>
    </row>
    <row r="26" spans="2:25" x14ac:dyDescent="0.25">
      <c r="B26" s="42">
        <f t="shared" si="4"/>
        <v>23</v>
      </c>
      <c r="C26" s="43">
        <v>37</v>
      </c>
      <c r="D26" s="2" t="s">
        <v>40</v>
      </c>
      <c r="E26" s="44"/>
      <c r="F26" s="47">
        <f t="shared" si="0"/>
        <v>0</v>
      </c>
      <c r="G26" s="48">
        <f>VLOOKUP(D26,BaseC,81,0)</f>
        <v>425</v>
      </c>
      <c r="H26" s="19">
        <f>VLOOKUP(D26,BaseC,82,0)</f>
        <v>23</v>
      </c>
      <c r="I26" s="21">
        <f t="shared" si="1"/>
        <v>448</v>
      </c>
      <c r="J26" s="42">
        <f t="shared" si="5"/>
        <v>65</v>
      </c>
      <c r="K26" s="43">
        <v>31</v>
      </c>
      <c r="L26" s="2" t="s">
        <v>34</v>
      </c>
      <c r="M26" s="44"/>
      <c r="N26" s="47">
        <f t="shared" si="9"/>
        <v>-1</v>
      </c>
      <c r="O26" s="48">
        <f>VLOOKUP(L26,BaseC,81,0)</f>
        <v>183</v>
      </c>
      <c r="P26" s="19">
        <f>VLOOKUP(L26,BaseC,82,0)</f>
        <v>6</v>
      </c>
      <c r="Q26" s="21">
        <f t="shared" si="10"/>
        <v>188</v>
      </c>
      <c r="R26" s="42"/>
      <c r="S26" s="43"/>
      <c r="U26" s="44"/>
      <c r="V26" s="47"/>
      <c r="W26" s="48"/>
      <c r="X26" s="19"/>
      <c r="Y26" s="21"/>
    </row>
    <row r="27" spans="2:25" x14ac:dyDescent="0.25">
      <c r="B27" s="42">
        <f t="shared" si="4"/>
        <v>24</v>
      </c>
      <c r="C27" s="43">
        <v>26</v>
      </c>
      <c r="D27" s="2" t="s">
        <v>29</v>
      </c>
      <c r="E27" s="44"/>
      <c r="F27" s="47">
        <f t="shared" si="0"/>
        <v>-2</v>
      </c>
      <c r="G27" s="48">
        <f>VLOOKUP(D27,BaseC,81,0)</f>
        <v>436</v>
      </c>
      <c r="H27" s="19">
        <f>VLOOKUP(D27,BaseC,82,0)</f>
        <v>10</v>
      </c>
      <c r="I27" s="21">
        <f t="shared" si="1"/>
        <v>444</v>
      </c>
      <c r="J27" s="42">
        <f t="shared" si="5"/>
        <v>66</v>
      </c>
      <c r="K27" s="43">
        <v>48</v>
      </c>
      <c r="L27" s="2" t="s">
        <v>51</v>
      </c>
      <c r="M27" s="52"/>
      <c r="N27" s="47">
        <f t="shared" si="9"/>
        <v>0</v>
      </c>
      <c r="O27" s="48">
        <f>VLOOKUP(L27,BaseC,81,0)</f>
        <v>181</v>
      </c>
      <c r="P27" s="19">
        <f>VLOOKUP(L27,BaseC,82,0)</f>
        <v>1</v>
      </c>
      <c r="Q27" s="21">
        <f t="shared" si="10"/>
        <v>182</v>
      </c>
      <c r="R27" s="42"/>
      <c r="S27" s="43"/>
      <c r="U27" s="44"/>
      <c r="V27" s="47"/>
      <c r="W27" s="48"/>
      <c r="X27" s="19"/>
      <c r="Y27" s="21"/>
    </row>
    <row r="28" spans="2:25" x14ac:dyDescent="0.25">
      <c r="B28" s="42">
        <f t="shared" si="4"/>
        <v>25</v>
      </c>
      <c r="C28" s="43">
        <v>81</v>
      </c>
      <c r="D28" s="2" t="s">
        <v>84</v>
      </c>
      <c r="E28" s="52"/>
      <c r="F28" s="31">
        <f t="shared" si="0"/>
        <v>-1</v>
      </c>
      <c r="G28" s="48">
        <f>VLOOKUP(D28,BaseC,81,0)</f>
        <v>438</v>
      </c>
      <c r="H28" s="19">
        <f>VLOOKUP(D28,BaseC,82,0)</f>
        <v>4</v>
      </c>
      <c r="I28" s="21">
        <f t="shared" si="1"/>
        <v>441</v>
      </c>
      <c r="J28" s="42">
        <f t="shared" si="5"/>
        <v>67</v>
      </c>
      <c r="K28" s="43">
        <v>25</v>
      </c>
      <c r="L28" s="2" t="s">
        <v>28</v>
      </c>
      <c r="M28" s="52"/>
      <c r="N28" s="47">
        <f t="shared" si="9"/>
        <v>0</v>
      </c>
      <c r="O28" s="48">
        <f>VLOOKUP(L28,BaseC,81,0)</f>
        <v>181</v>
      </c>
      <c r="P28" s="19">
        <f>VLOOKUP(L28,BaseC,82,0)</f>
        <v>0</v>
      </c>
      <c r="Q28" s="21">
        <f t="shared" si="10"/>
        <v>181</v>
      </c>
      <c r="R28" s="42"/>
      <c r="S28" s="43"/>
      <c r="U28" s="44"/>
      <c r="V28" s="47"/>
      <c r="W28" s="48"/>
      <c r="X28" s="19"/>
      <c r="Y28" s="21"/>
    </row>
    <row r="29" spans="2:25" x14ac:dyDescent="0.25">
      <c r="B29" s="42">
        <f t="shared" si="4"/>
        <v>26</v>
      </c>
      <c r="C29" s="43">
        <v>51</v>
      </c>
      <c r="D29" s="2" t="s">
        <v>54</v>
      </c>
      <c r="E29" s="52"/>
      <c r="F29" s="47">
        <f t="shared" si="0"/>
        <v>-4</v>
      </c>
      <c r="G29" s="48">
        <f>VLOOKUP(D29,BaseC,81,0)</f>
        <v>426</v>
      </c>
      <c r="H29" s="19">
        <f>VLOOKUP(D29,BaseC,82,0)</f>
        <v>15</v>
      </c>
      <c r="I29" s="21">
        <f t="shared" si="1"/>
        <v>437</v>
      </c>
      <c r="J29" s="42"/>
      <c r="K29" s="43">
        <v>54</v>
      </c>
      <c r="L29" s="2" t="s">
        <v>57</v>
      </c>
      <c r="M29" s="44"/>
      <c r="N29" s="47">
        <f t="shared" si="9"/>
        <v>0</v>
      </c>
      <c r="O29" s="48">
        <f>VLOOKUP(L29,BaseC,81,0)</f>
        <v>179</v>
      </c>
      <c r="P29" s="19">
        <f>VLOOKUP(L29,BaseC,82,0)</f>
        <v>2</v>
      </c>
      <c r="Q29" s="21">
        <f t="shared" si="10"/>
        <v>181</v>
      </c>
      <c r="R29" s="42"/>
      <c r="S29" s="43"/>
      <c r="U29" s="44"/>
      <c r="V29" s="47"/>
      <c r="W29" s="48"/>
      <c r="X29" s="19"/>
      <c r="Y29" s="21"/>
    </row>
    <row r="30" spans="2:25" x14ac:dyDescent="0.25">
      <c r="B30" s="42">
        <f t="shared" si="4"/>
        <v>27</v>
      </c>
      <c r="C30" s="43">
        <v>21</v>
      </c>
      <c r="D30" s="2" t="s">
        <v>24</v>
      </c>
      <c r="E30" s="44"/>
      <c r="F30" s="47">
        <f t="shared" si="0"/>
        <v>-1</v>
      </c>
      <c r="G30" s="48">
        <f>VLOOKUP(D30,BaseC,81,0)</f>
        <v>428</v>
      </c>
      <c r="H30" s="19">
        <f>VLOOKUP(D30,BaseC,82,0)</f>
        <v>6</v>
      </c>
      <c r="I30" s="21">
        <f t="shared" si="1"/>
        <v>433</v>
      </c>
      <c r="J30" s="42">
        <v>69</v>
      </c>
      <c r="K30" s="43">
        <v>86</v>
      </c>
      <c r="L30" s="2" t="s">
        <v>89</v>
      </c>
      <c r="M30" s="52"/>
      <c r="N30" s="47">
        <f t="shared" si="9"/>
        <v>-1</v>
      </c>
      <c r="O30" s="48">
        <f>VLOOKUP(L30,BaseC,81,0)</f>
        <v>173</v>
      </c>
      <c r="P30" s="19">
        <f>VLOOKUP(L30,BaseC,82,0)</f>
        <v>6</v>
      </c>
      <c r="Q30" s="21">
        <f t="shared" si="10"/>
        <v>178</v>
      </c>
      <c r="R30" s="42"/>
      <c r="S30" s="43"/>
      <c r="U30" s="44"/>
      <c r="V30" s="47"/>
      <c r="W30" s="48"/>
      <c r="X30" s="19"/>
      <c r="Y30" s="21"/>
    </row>
    <row r="31" spans="2:25" x14ac:dyDescent="0.25">
      <c r="B31" s="42">
        <f t="shared" si="4"/>
        <v>28</v>
      </c>
      <c r="C31" s="43">
        <v>7</v>
      </c>
      <c r="D31" s="2" t="s">
        <v>11</v>
      </c>
      <c r="E31" s="52"/>
      <c r="F31" s="47">
        <f t="shared" si="0"/>
        <v>-1</v>
      </c>
      <c r="G31" s="48">
        <f>VLOOKUP(D31,BaseC,81,0)</f>
        <v>416</v>
      </c>
      <c r="H31" s="19">
        <f>VLOOKUP(D31,BaseC,82,0)</f>
        <v>2</v>
      </c>
      <c r="I31" s="21">
        <f t="shared" si="1"/>
        <v>417</v>
      </c>
      <c r="J31" s="42">
        <f t="shared" si="5"/>
        <v>70</v>
      </c>
      <c r="K31" s="43">
        <v>42</v>
      </c>
      <c r="L31" s="2" t="s">
        <v>45</v>
      </c>
      <c r="M31" s="44"/>
      <c r="N31" s="47">
        <f t="shared" si="9"/>
        <v>0</v>
      </c>
      <c r="O31" s="48">
        <f>VLOOKUP(L31,BaseC,81,0)</f>
        <v>173</v>
      </c>
      <c r="P31" s="19">
        <f>VLOOKUP(L31,BaseC,82,0)</f>
        <v>1</v>
      </c>
      <c r="Q31" s="21">
        <f t="shared" si="10"/>
        <v>174</v>
      </c>
      <c r="R31" s="42"/>
      <c r="S31" s="43"/>
      <c r="U31" s="44"/>
      <c r="V31" s="47"/>
      <c r="W31" s="48"/>
      <c r="X31" s="19"/>
      <c r="Y31" s="21"/>
    </row>
    <row r="32" spans="2:25" x14ac:dyDescent="0.25">
      <c r="B32" s="42">
        <f t="shared" si="4"/>
        <v>29</v>
      </c>
      <c r="C32" s="43">
        <v>33</v>
      </c>
      <c r="D32" s="2" t="s">
        <v>36</v>
      </c>
      <c r="E32" s="52"/>
      <c r="F32" s="47">
        <f t="shared" si="0"/>
        <v>0</v>
      </c>
      <c r="G32" s="48">
        <f>VLOOKUP(D32,BaseC,81,0)</f>
        <v>412</v>
      </c>
      <c r="H32" s="19">
        <f>VLOOKUP(D32,BaseC,82,0)</f>
        <v>2</v>
      </c>
      <c r="I32" s="21">
        <f t="shared" si="1"/>
        <v>414</v>
      </c>
      <c r="J32" s="42"/>
      <c r="K32" s="43">
        <v>88</v>
      </c>
      <c r="L32" s="2" t="s">
        <v>91</v>
      </c>
      <c r="M32" s="44"/>
      <c r="N32" s="47">
        <f t="shared" si="9"/>
        <v>0</v>
      </c>
      <c r="O32" s="48">
        <f>VLOOKUP(L32,BaseC,81,0)</f>
        <v>172</v>
      </c>
      <c r="P32" s="19">
        <f>VLOOKUP(L32,BaseC,82,0)</f>
        <v>2</v>
      </c>
      <c r="Q32" s="21">
        <f t="shared" si="10"/>
        <v>174</v>
      </c>
      <c r="R32" s="42"/>
      <c r="S32" s="43"/>
      <c r="U32" s="52"/>
      <c r="V32" s="47"/>
      <c r="W32" s="48"/>
      <c r="X32" s="19"/>
      <c r="Y32" s="21"/>
    </row>
    <row r="33" spans="2:25" x14ac:dyDescent="0.25">
      <c r="B33" s="42">
        <f t="shared" si="4"/>
        <v>30</v>
      </c>
      <c r="C33" s="43">
        <v>67</v>
      </c>
      <c r="D33" s="2" t="s">
        <v>70</v>
      </c>
      <c r="E33" s="52"/>
      <c r="F33" s="47">
        <f t="shared" si="0"/>
        <v>0</v>
      </c>
      <c r="G33" s="48">
        <f>VLOOKUP(D33,BaseC,81,0)</f>
        <v>406</v>
      </c>
      <c r="H33" s="19">
        <f>VLOOKUP(D33,BaseC,82,0)</f>
        <v>1</v>
      </c>
      <c r="I33" s="21">
        <f t="shared" si="1"/>
        <v>407</v>
      </c>
      <c r="J33" s="42">
        <v>72</v>
      </c>
      <c r="K33" s="43">
        <v>36</v>
      </c>
      <c r="L33" s="2" t="s">
        <v>39</v>
      </c>
      <c r="M33" s="52"/>
      <c r="N33" s="47">
        <f t="shared" si="9"/>
        <v>-6</v>
      </c>
      <c r="O33" s="48">
        <f>VLOOKUP(L33,BaseC,81,0)</f>
        <v>166</v>
      </c>
      <c r="P33" s="19">
        <f>VLOOKUP(L33,BaseC,82,0)</f>
        <v>6</v>
      </c>
      <c r="Q33" s="21">
        <f t="shared" si="10"/>
        <v>166</v>
      </c>
      <c r="R33" s="42"/>
      <c r="S33" s="43"/>
      <c r="U33" s="52"/>
      <c r="V33" s="47"/>
      <c r="W33" s="48"/>
      <c r="X33" s="19"/>
      <c r="Y33" s="21"/>
    </row>
    <row r="34" spans="2:25" x14ac:dyDescent="0.25">
      <c r="B34" s="42">
        <f t="shared" si="4"/>
        <v>31</v>
      </c>
      <c r="C34" s="43">
        <v>2</v>
      </c>
      <c r="D34" s="2" t="s">
        <v>6</v>
      </c>
      <c r="E34" s="44"/>
      <c r="F34" s="47">
        <f t="shared" si="0"/>
        <v>0</v>
      </c>
      <c r="G34" s="48">
        <f>VLOOKUP(D34,BaseC,81,0)</f>
        <v>397</v>
      </c>
      <c r="H34" s="19">
        <f>VLOOKUP(D34,BaseC,82,0)</f>
        <v>1</v>
      </c>
      <c r="I34" s="21">
        <f t="shared" si="1"/>
        <v>398</v>
      </c>
      <c r="J34" s="42">
        <f t="shared" si="5"/>
        <v>73</v>
      </c>
      <c r="K34" s="43">
        <v>62</v>
      </c>
      <c r="L34" s="2" t="s">
        <v>65</v>
      </c>
      <c r="M34" s="52"/>
      <c r="N34" s="47">
        <f t="shared" si="9"/>
        <v>0</v>
      </c>
      <c r="O34" s="48">
        <f>VLOOKUP(L34,BaseC,81,0)</f>
        <v>164</v>
      </c>
      <c r="P34" s="19">
        <f>VLOOKUP(L34,BaseC,82,0)</f>
        <v>1</v>
      </c>
      <c r="Q34" s="21">
        <f t="shared" si="10"/>
        <v>165</v>
      </c>
      <c r="R34" s="42"/>
      <c r="S34" s="43"/>
      <c r="U34" s="52"/>
      <c r="V34" s="47"/>
      <c r="W34" s="48"/>
      <c r="X34" s="19"/>
      <c r="Y34" s="21"/>
    </row>
    <row r="35" spans="2:25" x14ac:dyDescent="0.25">
      <c r="B35" s="42">
        <f t="shared" si="4"/>
        <v>32</v>
      </c>
      <c r="C35" s="43">
        <v>73</v>
      </c>
      <c r="D35" s="2" t="s">
        <v>76</v>
      </c>
      <c r="E35" s="44"/>
      <c r="F35" s="47">
        <f t="shared" si="0"/>
        <v>-1</v>
      </c>
      <c r="G35" s="48">
        <f>VLOOKUP(D35,BaseC,81,0)</f>
        <v>354</v>
      </c>
      <c r="H35" s="19">
        <f>VLOOKUP(D35,BaseC,82,0)</f>
        <v>3</v>
      </c>
      <c r="I35" s="21">
        <f t="shared" si="1"/>
        <v>356</v>
      </c>
      <c r="J35" s="42">
        <f t="shared" si="5"/>
        <v>74</v>
      </c>
      <c r="K35" s="43">
        <v>93</v>
      </c>
      <c r="L35" s="2" t="s">
        <v>96</v>
      </c>
      <c r="M35" s="52"/>
      <c r="N35" s="47">
        <f t="shared" si="9"/>
        <v>0</v>
      </c>
      <c r="O35" s="48">
        <f>VLOOKUP(L35,BaseC,81,0)</f>
        <v>161</v>
      </c>
      <c r="P35" s="19">
        <f>VLOOKUP(L35,BaseC,82,0)</f>
        <v>0</v>
      </c>
      <c r="Q35" s="21">
        <f t="shared" si="10"/>
        <v>161</v>
      </c>
      <c r="R35" s="42"/>
      <c r="S35" s="43"/>
      <c r="U35" s="52"/>
      <c r="V35" s="47"/>
      <c r="W35" s="48"/>
      <c r="X35" s="19"/>
      <c r="Y35" s="21"/>
    </row>
    <row r="36" spans="2:25" x14ac:dyDescent="0.25">
      <c r="B36" s="42">
        <f t="shared" si="4"/>
        <v>33</v>
      </c>
      <c r="C36" s="43">
        <v>85</v>
      </c>
      <c r="D36" s="2" t="s">
        <v>88</v>
      </c>
      <c r="E36" s="52"/>
      <c r="F36" s="47">
        <f t="shared" si="0"/>
        <v>0</v>
      </c>
      <c r="G36" s="48">
        <f>VLOOKUP(D36,BaseC,81,0)</f>
        <v>338</v>
      </c>
      <c r="H36" s="19">
        <f>VLOOKUP(D36,BaseC,82,0)</f>
        <v>1</v>
      </c>
      <c r="I36" s="21">
        <f t="shared" si="1"/>
        <v>339</v>
      </c>
      <c r="J36" s="42">
        <f t="shared" si="5"/>
        <v>75</v>
      </c>
      <c r="K36" s="43">
        <v>18</v>
      </c>
      <c r="L36" s="2" t="s">
        <v>22</v>
      </c>
      <c r="M36" s="52"/>
      <c r="N36" s="47">
        <f t="shared" si="9"/>
        <v>-5</v>
      </c>
      <c r="O36" s="48">
        <f>VLOOKUP(L36,BaseC,81,0)</f>
        <v>162</v>
      </c>
      <c r="P36" s="19">
        <f>VLOOKUP(L36,BaseC,82,0)</f>
        <v>1</v>
      </c>
      <c r="Q36" s="21">
        <f t="shared" si="10"/>
        <v>158</v>
      </c>
      <c r="R36" s="42"/>
      <c r="S36" s="43"/>
      <c r="U36" s="52"/>
      <c r="V36" s="47"/>
      <c r="W36" s="48"/>
      <c r="X36" s="19"/>
      <c r="Y36" s="21"/>
    </row>
    <row r="37" spans="2:25" x14ac:dyDescent="0.25">
      <c r="B37" s="42"/>
      <c r="C37" s="43">
        <v>95</v>
      </c>
      <c r="D37" s="2" t="s">
        <v>98</v>
      </c>
      <c r="E37" s="52"/>
      <c r="F37" s="47">
        <f t="shared" si="0"/>
        <v>0</v>
      </c>
      <c r="G37" s="48">
        <f>VLOOKUP(D37,BaseC,81,0)</f>
        <v>335</v>
      </c>
      <c r="H37" s="19">
        <f>VLOOKUP(D37,BaseC,82,0)</f>
        <v>4</v>
      </c>
      <c r="I37" s="21">
        <f t="shared" si="1"/>
        <v>339</v>
      </c>
      <c r="J37" s="42">
        <f t="shared" si="5"/>
        <v>76</v>
      </c>
      <c r="K37" s="43">
        <v>94</v>
      </c>
      <c r="L37" s="2" t="s">
        <v>97</v>
      </c>
      <c r="M37" s="44"/>
      <c r="N37" s="47">
        <f t="shared" si="9"/>
        <v>0</v>
      </c>
      <c r="O37" s="48">
        <f>VLOOKUP(L37,BaseC,81,0)</f>
        <v>157</v>
      </c>
      <c r="P37" s="19">
        <f>VLOOKUP(L37,BaseC,82,0)</f>
        <v>0</v>
      </c>
      <c r="Q37" s="21">
        <f t="shared" si="10"/>
        <v>157</v>
      </c>
      <c r="R37" s="42"/>
      <c r="S37" s="43"/>
      <c r="U37" s="44"/>
      <c r="V37" s="47"/>
      <c r="W37" s="48"/>
      <c r="X37" s="19"/>
      <c r="Y37" s="21"/>
    </row>
    <row r="38" spans="2:25" x14ac:dyDescent="0.25">
      <c r="B38" s="42">
        <v>35</v>
      </c>
      <c r="C38" s="43">
        <v>22</v>
      </c>
      <c r="D38" s="2" t="s">
        <v>25</v>
      </c>
      <c r="E38" s="52"/>
      <c r="F38" s="47">
        <f t="shared" si="0"/>
        <v>0</v>
      </c>
      <c r="G38" s="48">
        <f>VLOOKUP(D38,BaseC,81,0)</f>
        <v>335</v>
      </c>
      <c r="H38" s="19">
        <f>VLOOKUP(D38,BaseC,82,0)</f>
        <v>3</v>
      </c>
      <c r="I38" s="21">
        <f t="shared" si="1"/>
        <v>338</v>
      </c>
      <c r="J38" s="42">
        <f t="shared" si="5"/>
        <v>77</v>
      </c>
      <c r="K38" s="43">
        <v>39</v>
      </c>
      <c r="L38" s="2" t="s">
        <v>42</v>
      </c>
      <c r="M38" s="52"/>
      <c r="N38" s="47">
        <f t="shared" si="9"/>
        <v>0</v>
      </c>
      <c r="O38" s="48">
        <f>VLOOKUP(L38,BaseC,81,0)</f>
        <v>151</v>
      </c>
      <c r="P38" s="19">
        <f>VLOOKUP(L38,BaseC,82,0)</f>
        <v>1</v>
      </c>
      <c r="Q38" s="21">
        <f t="shared" si="10"/>
        <v>152</v>
      </c>
      <c r="R38" s="42"/>
      <c r="S38" s="43"/>
      <c r="U38" s="52"/>
      <c r="V38" s="47"/>
      <c r="W38" s="48"/>
      <c r="X38" s="19"/>
      <c r="Y38" s="21"/>
    </row>
    <row r="39" spans="2:25" x14ac:dyDescent="0.25">
      <c r="B39" s="42">
        <f t="shared" si="4"/>
        <v>36</v>
      </c>
      <c r="C39" s="43">
        <v>1</v>
      </c>
      <c r="D39" s="2" t="s">
        <v>5</v>
      </c>
      <c r="E39" s="52"/>
      <c r="F39" s="47">
        <f t="shared" si="0"/>
        <v>0</v>
      </c>
      <c r="G39" s="48">
        <f>VLOOKUP(D39,BaseC,81,0)</f>
        <v>320</v>
      </c>
      <c r="H39" s="19">
        <f>VLOOKUP(D39,BaseC,82,0)</f>
        <v>3</v>
      </c>
      <c r="I39" s="21">
        <f t="shared" si="1"/>
        <v>323</v>
      </c>
      <c r="J39" s="42">
        <f t="shared" si="5"/>
        <v>78</v>
      </c>
      <c r="K39" s="43">
        <v>3</v>
      </c>
      <c r="L39" s="2" t="s">
        <v>7</v>
      </c>
      <c r="M39" s="52"/>
      <c r="N39" s="47">
        <f t="shared" si="9"/>
        <v>0</v>
      </c>
      <c r="O39" s="48">
        <f>VLOOKUP(L39,BaseC,81,0)</f>
        <v>149</v>
      </c>
      <c r="P39" s="19">
        <f>VLOOKUP(L39,BaseC,82,0)</f>
        <v>1</v>
      </c>
      <c r="Q39" s="21">
        <f t="shared" si="10"/>
        <v>150</v>
      </c>
      <c r="R39" s="42"/>
      <c r="S39" s="43"/>
      <c r="U39" s="52"/>
      <c r="V39" s="47"/>
      <c r="W39" s="48"/>
      <c r="X39" s="19"/>
      <c r="Y39" s="21"/>
    </row>
    <row r="40" spans="2:25" x14ac:dyDescent="0.25">
      <c r="B40" s="42">
        <f t="shared" si="4"/>
        <v>37</v>
      </c>
      <c r="C40" s="43">
        <v>12</v>
      </c>
      <c r="D40" s="2" t="s">
        <v>16</v>
      </c>
      <c r="E40" s="44"/>
      <c r="F40" s="47">
        <f t="shared" si="0"/>
        <v>-1</v>
      </c>
      <c r="G40" s="48">
        <f>VLOOKUP(D40,BaseC,81,0)</f>
        <v>314</v>
      </c>
      <c r="H40" s="19">
        <f>VLOOKUP(D40,BaseC,82,0)</f>
        <v>2</v>
      </c>
      <c r="I40" s="21">
        <f t="shared" si="1"/>
        <v>315</v>
      </c>
      <c r="J40" s="42">
        <f t="shared" si="5"/>
        <v>79</v>
      </c>
      <c r="K40" s="43">
        <v>55</v>
      </c>
      <c r="L40" s="2" t="s">
        <v>58</v>
      </c>
      <c r="M40" s="52"/>
      <c r="N40" s="47">
        <f t="shared" si="9"/>
        <v>0</v>
      </c>
      <c r="O40" s="48">
        <f>VLOOKUP(L40,BaseC,81,0)</f>
        <v>143</v>
      </c>
      <c r="P40" s="19">
        <f>VLOOKUP(L40,BaseC,82,0)</f>
        <v>1</v>
      </c>
      <c r="Q40" s="21">
        <f t="shared" si="10"/>
        <v>144</v>
      </c>
      <c r="R40" s="42"/>
      <c r="S40" s="43"/>
      <c r="U40" s="52"/>
      <c r="V40" s="47"/>
      <c r="W40" s="48"/>
      <c r="X40" s="19"/>
      <c r="Y40" s="21"/>
    </row>
    <row r="41" spans="2:25" x14ac:dyDescent="0.25">
      <c r="B41" s="42">
        <f t="shared" si="4"/>
        <v>38</v>
      </c>
      <c r="C41" s="43">
        <v>11</v>
      </c>
      <c r="D41" s="2" t="s">
        <v>15</v>
      </c>
      <c r="E41" s="52"/>
      <c r="F41" s="47">
        <f t="shared" si="0"/>
        <v>0</v>
      </c>
      <c r="G41" s="48">
        <f>VLOOKUP(D41,BaseC,81,0)</f>
        <v>307</v>
      </c>
      <c r="H41" s="19">
        <f>VLOOKUP(D41,BaseC,82,0)</f>
        <v>6</v>
      </c>
      <c r="I41" s="21">
        <f t="shared" si="1"/>
        <v>313</v>
      </c>
      <c r="J41" s="42">
        <f t="shared" si="5"/>
        <v>80</v>
      </c>
      <c r="K41" s="43">
        <v>92</v>
      </c>
      <c r="L41" s="2" t="s">
        <v>95</v>
      </c>
      <c r="M41" s="44"/>
      <c r="N41" s="47">
        <f t="shared" si="9"/>
        <v>0</v>
      </c>
      <c r="O41" s="48">
        <f>VLOOKUP(L41,BaseC,81,0)</f>
        <v>141</v>
      </c>
      <c r="P41" s="19">
        <f>VLOOKUP(L41,BaseC,82,0)</f>
        <v>2</v>
      </c>
      <c r="Q41" s="21">
        <f t="shared" si="10"/>
        <v>143</v>
      </c>
      <c r="R41" s="42"/>
      <c r="S41" s="43"/>
      <c r="U41" s="52"/>
      <c r="V41" s="47"/>
      <c r="W41" s="48"/>
      <c r="X41" s="19"/>
      <c r="Y41" s="21"/>
    </row>
    <row r="42" spans="2:25" x14ac:dyDescent="0.25">
      <c r="B42" s="42">
        <f t="shared" si="4"/>
        <v>39</v>
      </c>
      <c r="C42" s="43">
        <v>61</v>
      </c>
      <c r="D42" s="2" t="s">
        <v>64</v>
      </c>
      <c r="E42" s="52"/>
      <c r="F42" s="47">
        <f t="shared" ref="F42:F47" si="11">VLOOKUP(D42,BaseC,3,0)</f>
        <v>0</v>
      </c>
      <c r="G42" s="48">
        <f>VLOOKUP(D42,BaseC,81,0)</f>
        <v>309</v>
      </c>
      <c r="H42" s="19">
        <f>VLOOKUP(D42,BaseC,82,0)</f>
        <v>2</v>
      </c>
      <c r="I42" s="21">
        <f>G42+F42+H42</f>
        <v>311</v>
      </c>
      <c r="J42" s="42">
        <f t="shared" si="5"/>
        <v>81</v>
      </c>
      <c r="K42" s="43">
        <v>47</v>
      </c>
      <c r="L42" s="2" t="s">
        <v>50</v>
      </c>
      <c r="M42" s="44"/>
      <c r="N42" s="47">
        <f t="shared" si="9"/>
        <v>0</v>
      </c>
      <c r="O42" s="48">
        <f>VLOOKUP(L42,BaseC,81,0)</f>
        <v>134</v>
      </c>
      <c r="P42" s="19">
        <f>VLOOKUP(L42,BaseC,82,0)</f>
        <v>1</v>
      </c>
      <c r="Q42" s="21">
        <f t="shared" si="10"/>
        <v>135</v>
      </c>
      <c r="R42" s="42"/>
      <c r="S42" s="43"/>
      <c r="U42" s="44"/>
      <c r="V42" s="47"/>
      <c r="W42" s="48"/>
      <c r="X42" s="19"/>
      <c r="Y42" s="21"/>
    </row>
    <row r="43" spans="2:25" x14ac:dyDescent="0.25">
      <c r="B43" s="42">
        <f t="shared" si="4"/>
        <v>40</v>
      </c>
      <c r="C43" s="43">
        <v>68</v>
      </c>
      <c r="D43" s="2" t="s">
        <v>71</v>
      </c>
      <c r="E43" s="52"/>
      <c r="F43" s="47">
        <f t="shared" si="11"/>
        <v>-3</v>
      </c>
      <c r="G43" s="48">
        <f>VLOOKUP(D43,BaseC,81,0)</f>
        <v>306</v>
      </c>
      <c r="H43" s="19">
        <f>VLOOKUP(D43,BaseC,82,0)</f>
        <v>6</v>
      </c>
      <c r="I43" s="21">
        <f>G43+F43+H43</f>
        <v>309</v>
      </c>
      <c r="J43" s="42">
        <f t="shared" si="5"/>
        <v>82</v>
      </c>
      <c r="K43" s="43">
        <v>70</v>
      </c>
      <c r="L43" s="2" t="s">
        <v>73</v>
      </c>
      <c r="M43" s="44"/>
      <c r="N43" s="47">
        <f t="shared" si="9"/>
        <v>0</v>
      </c>
      <c r="O43" s="48">
        <f>VLOOKUP(L43,BaseC,81,0)</f>
        <v>130</v>
      </c>
      <c r="P43" s="19">
        <f>VLOOKUP(L43,BaseC,82,0)</f>
        <v>2</v>
      </c>
      <c r="Q43" s="21">
        <f t="shared" si="10"/>
        <v>132</v>
      </c>
      <c r="R43" s="53"/>
      <c r="S43" s="43"/>
      <c r="U43" s="44"/>
      <c r="V43" s="47"/>
      <c r="W43" s="48"/>
      <c r="X43" s="19"/>
      <c r="Y43" s="21"/>
    </row>
    <row r="44" spans="2:25" x14ac:dyDescent="0.25">
      <c r="B44" s="42">
        <f t="shared" si="4"/>
        <v>41</v>
      </c>
      <c r="C44" s="43">
        <v>24</v>
      </c>
      <c r="D44" s="2" t="s">
        <v>27</v>
      </c>
      <c r="E44" s="52"/>
      <c r="F44" s="47">
        <f t="shared" si="11"/>
        <v>0</v>
      </c>
      <c r="G44" s="48">
        <f>VLOOKUP(D44,BaseC,81,0)</f>
        <v>296</v>
      </c>
      <c r="H44" s="19">
        <f>VLOOKUP(D44,BaseC,82,0)</f>
        <v>5</v>
      </c>
      <c r="I44" s="21">
        <f t="shared" ref="I44:I46" si="12">G44+F44+H44</f>
        <v>301</v>
      </c>
      <c r="J44" s="42">
        <f t="shared" si="5"/>
        <v>83</v>
      </c>
      <c r="K44" s="43">
        <v>53</v>
      </c>
      <c r="L44" s="2" t="s">
        <v>56</v>
      </c>
      <c r="M44" s="44"/>
      <c r="N44" s="47">
        <f t="shared" si="9"/>
        <v>0</v>
      </c>
      <c r="O44" s="48">
        <f>VLOOKUP(L44,BaseC,81,0)</f>
        <v>127</v>
      </c>
      <c r="P44" s="19">
        <f>VLOOKUP(L44,BaseC,82,0)</f>
        <v>0</v>
      </c>
      <c r="Q44" s="21">
        <f t="shared" si="10"/>
        <v>127</v>
      </c>
      <c r="R44" s="53"/>
      <c r="S44" s="43"/>
      <c r="U44" s="52"/>
      <c r="V44" s="47"/>
      <c r="W44" s="48"/>
      <c r="X44" s="19"/>
      <c r="Y44" s="21"/>
    </row>
    <row r="45" spans="2:25" x14ac:dyDescent="0.25">
      <c r="B45" s="42">
        <f t="shared" si="4"/>
        <v>42</v>
      </c>
      <c r="C45" s="43">
        <v>16</v>
      </c>
      <c r="D45" s="2" t="s">
        <v>20</v>
      </c>
      <c r="E45" s="52"/>
      <c r="F45" s="47">
        <f t="shared" si="11"/>
        <v>-3</v>
      </c>
      <c r="G45" s="48">
        <f>VLOOKUP(D45,BaseC,81,0)</f>
        <v>301</v>
      </c>
      <c r="H45" s="19">
        <f>VLOOKUP(D45,BaseC,82,0)</f>
        <v>1</v>
      </c>
      <c r="I45" s="21">
        <f t="shared" si="12"/>
        <v>299</v>
      </c>
      <c r="J45" s="42">
        <f t="shared" si="5"/>
        <v>84</v>
      </c>
      <c r="K45" s="43">
        <v>58</v>
      </c>
      <c r="L45" s="2" t="s">
        <v>61</v>
      </c>
      <c r="M45" s="44"/>
      <c r="N45" s="47">
        <f t="shared" si="9"/>
        <v>0</v>
      </c>
      <c r="O45" s="48">
        <f>VLOOKUP(L45,BaseC,81,0)</f>
        <v>124</v>
      </c>
      <c r="P45" s="19">
        <f>VLOOKUP(L45,BaseC,82,0)</f>
        <v>2</v>
      </c>
      <c r="Q45" s="21">
        <f t="shared" si="10"/>
        <v>126</v>
      </c>
      <c r="R45" s="53"/>
      <c r="S45" s="43"/>
      <c r="U45" s="52"/>
      <c r="V45" s="47"/>
      <c r="W45" s="48"/>
      <c r="X45" s="19"/>
      <c r="Y45" s="21"/>
    </row>
    <row r="46" spans="2:25" x14ac:dyDescent="0.25">
      <c r="B46" s="42">
        <f t="shared" si="4"/>
        <v>43</v>
      </c>
      <c r="C46" s="43">
        <v>63</v>
      </c>
      <c r="D46" s="2" t="s">
        <v>66</v>
      </c>
      <c r="E46" s="52"/>
      <c r="F46" s="47">
        <f t="shared" si="11"/>
        <v>0</v>
      </c>
      <c r="G46" s="48">
        <f>VLOOKUP(D46,BaseC,81,0)</f>
        <v>290</v>
      </c>
      <c r="H46" s="19">
        <f>VLOOKUP(D46,BaseC,82,0)</f>
        <v>3</v>
      </c>
      <c r="I46" s="21">
        <f t="shared" si="12"/>
        <v>293</v>
      </c>
      <c r="J46" s="42">
        <f t="shared" si="5"/>
        <v>85</v>
      </c>
      <c r="K46" s="43">
        <v>45</v>
      </c>
      <c r="L46" s="2" t="s">
        <v>48</v>
      </c>
      <c r="M46" s="44"/>
      <c r="N46" s="47">
        <f t="shared" si="9"/>
        <v>0</v>
      </c>
      <c r="O46" s="48">
        <f>VLOOKUP(L46,BaseC,81,0)</f>
        <v>104</v>
      </c>
      <c r="P46" s="19">
        <f>VLOOKUP(L46,BaseC,82,0)</f>
        <v>3</v>
      </c>
      <c r="Q46" s="21">
        <f t="shared" si="10"/>
        <v>107</v>
      </c>
      <c r="R46" s="53"/>
      <c r="S46" s="43"/>
      <c r="U46" s="52"/>
      <c r="V46" s="47"/>
      <c r="W46" s="48"/>
      <c r="X46" s="19"/>
      <c r="Y46" s="21"/>
    </row>
    <row r="47" spans="2:25" hidden="1" x14ac:dyDescent="0.25">
      <c r="B47" s="42"/>
      <c r="C47" s="43"/>
      <c r="E47" s="52"/>
      <c r="F47" s="47"/>
      <c r="G47" s="48"/>
      <c r="H47" s="19"/>
      <c r="I47" s="21"/>
      <c r="J47" s="42"/>
      <c r="K47" s="43"/>
      <c r="M47" s="44"/>
      <c r="N47" s="47"/>
      <c r="O47" s="48"/>
      <c r="P47" s="19"/>
      <c r="Q47" s="21"/>
      <c r="R47" s="53"/>
      <c r="S47" s="43"/>
      <c r="U47" s="52"/>
      <c r="V47" s="47"/>
      <c r="W47" s="48"/>
      <c r="X47" s="19"/>
      <c r="Y47" s="21"/>
    </row>
    <row r="48" spans="2:25" hidden="1" x14ac:dyDescent="0.25">
      <c r="B48" s="42"/>
      <c r="C48" s="43"/>
      <c r="E48" s="52"/>
      <c r="F48" s="47"/>
      <c r="G48" s="48"/>
      <c r="H48" s="19"/>
      <c r="I48" s="21"/>
      <c r="J48" s="42"/>
      <c r="K48" s="43"/>
      <c r="M48" s="44"/>
      <c r="N48" s="47"/>
      <c r="O48" s="48"/>
      <c r="P48" s="19"/>
      <c r="Q48" s="21"/>
      <c r="R48" s="53"/>
      <c r="S48" s="43"/>
      <c r="U48" s="52"/>
      <c r="V48" s="47"/>
      <c r="W48" s="48"/>
      <c r="X48" s="19"/>
      <c r="Y48" s="21"/>
    </row>
    <row r="49" spans="1:25" hidden="1" x14ac:dyDescent="0.25">
      <c r="B49" s="42"/>
      <c r="C49" s="43"/>
      <c r="E49" s="52"/>
      <c r="F49" s="47"/>
      <c r="G49" s="48"/>
      <c r="H49" s="19"/>
      <c r="I49" s="21"/>
      <c r="J49" s="42"/>
      <c r="K49" s="43"/>
      <c r="M49" s="44"/>
      <c r="N49" s="47"/>
      <c r="O49" s="48"/>
      <c r="P49" s="19"/>
      <c r="Q49" s="21"/>
      <c r="R49" s="53"/>
      <c r="S49" s="43"/>
      <c r="U49" s="52"/>
      <c r="V49" s="47"/>
      <c r="W49" s="48"/>
      <c r="X49" s="19"/>
      <c r="Y49" s="21"/>
    </row>
    <row r="50" spans="1:25" x14ac:dyDescent="0.25">
      <c r="B50" s="42"/>
      <c r="C50" s="43"/>
      <c r="E50" s="52"/>
      <c r="F50" s="47"/>
      <c r="G50" s="48"/>
      <c r="H50" s="19"/>
      <c r="I50" s="21"/>
      <c r="J50" s="42"/>
      <c r="K50" s="43"/>
      <c r="M50" s="44"/>
      <c r="N50" s="47"/>
      <c r="O50" s="48"/>
      <c r="P50" s="19"/>
      <c r="Q50" s="21"/>
      <c r="R50" s="53"/>
      <c r="S50" s="43"/>
      <c r="U50" s="52"/>
      <c r="V50" s="47"/>
      <c r="W50" s="48"/>
      <c r="X50" s="19"/>
      <c r="Y50" s="21"/>
    </row>
    <row r="51" spans="1:25" ht="14.4" thickBot="1" x14ac:dyDescent="0.3">
      <c r="B51" s="54"/>
      <c r="C51" s="55"/>
      <c r="D51" s="56" t="s">
        <v>112</v>
      </c>
      <c r="E51" s="57"/>
      <c r="F51" s="59">
        <f>SUM(F4:F50)</f>
        <v>-64</v>
      </c>
      <c r="G51" s="60">
        <f>SUM(G4:G44)</f>
        <v>24276</v>
      </c>
      <c r="H51" s="106">
        <f>SUM(H4:H50)</f>
        <v>410</v>
      </c>
      <c r="I51" s="61">
        <f>SUM(I4:I50)</f>
        <v>25213</v>
      </c>
      <c r="J51" s="62"/>
      <c r="K51" s="63"/>
      <c r="L51" s="56" t="s">
        <v>112</v>
      </c>
      <c r="M51" s="57"/>
      <c r="N51" s="59">
        <f>SUM(N4:N50)</f>
        <v>-92</v>
      </c>
      <c r="O51" s="60">
        <f>SUM(O4:O50)</f>
        <v>32588</v>
      </c>
      <c r="P51" s="106">
        <f>SUM(P4:P50)</f>
        <v>504</v>
      </c>
      <c r="Q51" s="61">
        <f>SUM(Q4:Q50)</f>
        <v>33591</v>
      </c>
      <c r="R51" s="62"/>
      <c r="S51" s="63"/>
      <c r="T51" s="64"/>
      <c r="U51" s="65" t="s">
        <v>103</v>
      </c>
      <c r="V51" s="59">
        <f>SUM(V4:V50)</f>
        <v>-94</v>
      </c>
      <c r="W51" s="60">
        <f>SUM(W4:W50)</f>
        <v>33334</v>
      </c>
      <c r="X51" s="106">
        <f>SUM(X4:X50)</f>
        <v>512</v>
      </c>
      <c r="Y51" s="61">
        <f>SUM(Y4:Y50)</f>
        <v>34343</v>
      </c>
    </row>
    <row r="52" spans="1:25" x14ac:dyDescent="0.25">
      <c r="C52" s="2"/>
      <c r="D52"/>
      <c r="E52"/>
      <c r="F52" s="66"/>
      <c r="G52"/>
      <c r="H52"/>
      <c r="I52" s="67"/>
      <c r="J52"/>
      <c r="L52"/>
      <c r="N52" s="66"/>
      <c r="O52" s="104"/>
      <c r="P52"/>
      <c r="Q52" s="67"/>
      <c r="R52"/>
      <c r="T52"/>
      <c r="V52" s="66"/>
      <c r="W52" s="104"/>
      <c r="X52"/>
      <c r="Y52" s="67"/>
    </row>
    <row r="53" spans="1:25" hidden="1" x14ac:dyDescent="0.25">
      <c r="B53" s="181" t="str">
        <f>"- En 2012, 82 départements (avec 100 ou + CS) sur 102 = "&amp;TEXT((82/102),"0,00%")</f>
        <v>- En 2012, 82 départements (avec 100 ou + CS) sur 102 = 80,39%</v>
      </c>
      <c r="C53" s="2"/>
      <c r="D53"/>
      <c r="E53"/>
      <c r="F53" s="66"/>
      <c r="G53" s="104"/>
      <c r="H53"/>
      <c r="I53" s="67"/>
      <c r="J53"/>
      <c r="L53"/>
      <c r="N53" s="66"/>
      <c r="O53" s="104"/>
      <c r="P53"/>
      <c r="Q53" s="67"/>
      <c r="R53"/>
      <c r="T53"/>
      <c r="V53" s="66"/>
      <c r="W53" s="104"/>
      <c r="X53"/>
      <c r="Y53" s="67"/>
    </row>
    <row r="54" spans="1:25" x14ac:dyDescent="0.25">
      <c r="B54" s="181" t="str">
        <f>"- En 2023, 85 départements (avec 100 ou + CS) sur 102 = "&amp;TEXT((85/102),"0,00%")</f>
        <v>- En 2023, 85 départements (avec 100 ou + CS) sur 102 = 83,33%</v>
      </c>
      <c r="C54" s="2"/>
      <c r="D54"/>
      <c r="E54"/>
      <c r="F54" s="66"/>
      <c r="G54" s="104"/>
      <c r="H54"/>
      <c r="I54" s="67"/>
      <c r="J54"/>
      <c r="L54"/>
      <c r="N54" s="66"/>
      <c r="O54" s="104"/>
      <c r="P54"/>
      <c r="Q54" s="67"/>
      <c r="R54"/>
      <c r="T54"/>
      <c r="V54" s="66"/>
      <c r="W54" s="104"/>
      <c r="X54"/>
      <c r="Y54" s="67"/>
    </row>
    <row r="55" spans="1:25" x14ac:dyDescent="0.25">
      <c r="A55" t="s">
        <v>113</v>
      </c>
      <c r="C55" s="2"/>
      <c r="D55"/>
      <c r="E55"/>
      <c r="F55" s="66"/>
      <c r="G55" s="104"/>
      <c r="H55"/>
      <c r="I55" s="67"/>
      <c r="J55"/>
      <c r="L55"/>
      <c r="N55" s="66"/>
      <c r="O55" s="104"/>
      <c r="P55"/>
      <c r="Q55" s="67"/>
      <c r="R55"/>
      <c r="T55"/>
      <c r="V55" s="66"/>
      <c r="W55" s="104"/>
      <c r="X55"/>
      <c r="Y55" s="67"/>
    </row>
    <row r="56" spans="1:25" x14ac:dyDescent="0.25">
      <c r="A56" t="s">
        <v>114</v>
      </c>
      <c r="C56" s="2"/>
      <c r="D56"/>
      <c r="E56"/>
      <c r="F56" s="66"/>
      <c r="G56" s="104"/>
      <c r="H56"/>
      <c r="I56" s="67"/>
      <c r="J56"/>
      <c r="L56"/>
      <c r="N56" s="66"/>
      <c r="O56" s="104"/>
      <c r="P56"/>
      <c r="Q56" s="67"/>
      <c r="R56"/>
      <c r="T56"/>
      <c r="V56" s="66"/>
      <c r="W56" s="104"/>
      <c r="X56"/>
      <c r="Y56" s="67"/>
    </row>
    <row r="57" spans="1:25" x14ac:dyDescent="0.25">
      <c r="A57" t="s">
        <v>115</v>
      </c>
      <c r="C57" s="2"/>
      <c r="D57"/>
      <c r="E57"/>
      <c r="F57" s="66"/>
      <c r="G57" s="104"/>
      <c r="H57"/>
      <c r="I57" s="67"/>
      <c r="J57"/>
      <c r="L57"/>
      <c r="N57" s="66"/>
      <c r="O57" s="104"/>
      <c r="P57"/>
      <c r="Q57" s="67"/>
      <c r="R57"/>
      <c r="T57"/>
      <c r="V57" s="66"/>
      <c r="W57" s="104"/>
      <c r="X57"/>
      <c r="Y57" s="67"/>
    </row>
    <row r="58" spans="1:25" x14ac:dyDescent="0.25">
      <c r="A58" t="s">
        <v>116</v>
      </c>
      <c r="C58" s="2"/>
      <c r="D58"/>
      <c r="E58"/>
      <c r="F58" s="66"/>
      <c r="G58" s="104"/>
      <c r="H58"/>
      <c r="I58" s="67"/>
      <c r="J58"/>
      <c r="L58"/>
      <c r="N58" s="66"/>
      <c r="O58" s="104"/>
      <c r="P58"/>
      <c r="Q58" s="67"/>
      <c r="R58"/>
      <c r="T58"/>
      <c r="V58" s="66"/>
      <c r="W58" s="104"/>
      <c r="X58"/>
      <c r="Y58" s="67"/>
    </row>
    <row r="59" spans="1:25" x14ac:dyDescent="0.25">
      <c r="C59" s="2"/>
      <c r="D59"/>
      <c r="E59"/>
      <c r="F59" s="66"/>
      <c r="G59" s="104"/>
      <c r="H59"/>
      <c r="I59" s="67"/>
      <c r="J59"/>
      <c r="L59"/>
      <c r="N59" s="66"/>
      <c r="O59" s="104"/>
      <c r="P59"/>
      <c r="Q59" s="67"/>
      <c r="R59"/>
      <c r="T59"/>
      <c r="V59" s="66"/>
      <c r="W59" s="104"/>
      <c r="X59"/>
      <c r="Y59" s="67"/>
    </row>
    <row r="60" spans="1:25" x14ac:dyDescent="0.25">
      <c r="C60" s="2"/>
      <c r="D60"/>
      <c r="E60"/>
      <c r="F60" s="66"/>
      <c r="G60" s="104"/>
      <c r="H60"/>
      <c r="I60" s="67"/>
      <c r="J60"/>
      <c r="L60"/>
      <c r="N60" s="66"/>
      <c r="O60" s="104"/>
      <c r="P60"/>
      <c r="Q60" s="67"/>
      <c r="R60"/>
      <c r="T60"/>
      <c r="V60" s="66"/>
      <c r="W60" s="104"/>
      <c r="X60"/>
      <c r="Y60" s="67"/>
    </row>
    <row r="61" spans="1:25" x14ac:dyDescent="0.25">
      <c r="C61" s="2"/>
      <c r="D61"/>
      <c r="E61"/>
      <c r="F61" s="66"/>
      <c r="G61" s="104"/>
      <c r="H61"/>
      <c r="I61" s="67"/>
      <c r="J61"/>
      <c r="L61"/>
      <c r="N61" s="66"/>
      <c r="O61" s="104"/>
      <c r="P61"/>
      <c r="Q61" s="67"/>
      <c r="R61"/>
      <c r="T61"/>
      <c r="V61" s="66"/>
      <c r="W61" s="104"/>
      <c r="X61"/>
      <c r="Y61" s="67"/>
    </row>
    <row r="62" spans="1:25" x14ac:dyDescent="0.25">
      <c r="C62" s="2"/>
      <c r="D62"/>
      <c r="E62"/>
      <c r="F62" s="66"/>
      <c r="G62" s="104"/>
      <c r="H62"/>
      <c r="I62" s="67"/>
      <c r="J62"/>
      <c r="L62"/>
      <c r="N62" s="66"/>
      <c r="O62" s="104"/>
      <c r="P62"/>
      <c r="Q62" s="67"/>
      <c r="R62"/>
      <c r="T62"/>
      <c r="V62" s="66"/>
      <c r="W62" s="104"/>
      <c r="X62"/>
      <c r="Y62" s="67"/>
    </row>
    <row r="63" spans="1:25" x14ac:dyDescent="0.25">
      <c r="C63" s="2"/>
      <c r="D63"/>
      <c r="E63"/>
      <c r="F63" s="66"/>
      <c r="G63" s="104"/>
      <c r="H63"/>
      <c r="I63" s="67"/>
      <c r="J63"/>
      <c r="L63"/>
      <c r="N63" s="66"/>
      <c r="O63" s="104"/>
      <c r="P63"/>
      <c r="Q63" s="67"/>
      <c r="R63"/>
      <c r="T63"/>
      <c r="V63" s="66"/>
      <c r="W63" s="104"/>
      <c r="X63"/>
      <c r="Y63" s="67"/>
    </row>
    <row r="64" spans="1:25" x14ac:dyDescent="0.25">
      <c r="C64" s="2"/>
      <c r="D64"/>
      <c r="E64"/>
      <c r="F64" s="66"/>
      <c r="G64" s="104"/>
      <c r="H64"/>
      <c r="I64" s="67"/>
      <c r="J64"/>
      <c r="L64"/>
      <c r="N64" s="66"/>
      <c r="O64" s="104"/>
      <c r="P64"/>
      <c r="Q64" s="67"/>
      <c r="R64"/>
      <c r="T64"/>
      <c r="V64" s="66"/>
      <c r="W64" s="104"/>
      <c r="X64"/>
      <c r="Y64" s="67"/>
    </row>
    <row r="65" spans="3:25" x14ac:dyDescent="0.25">
      <c r="C65" s="2"/>
      <c r="D65"/>
      <c r="E65"/>
      <c r="F65" s="66"/>
      <c r="G65" s="104"/>
      <c r="H65"/>
      <c r="I65" s="67"/>
      <c r="J65"/>
      <c r="L65"/>
      <c r="N65" s="66"/>
      <c r="O65" s="104"/>
      <c r="P65"/>
      <c r="Q65" s="67"/>
      <c r="R65"/>
      <c r="T65"/>
      <c r="V65" s="66"/>
      <c r="W65" s="104"/>
      <c r="X65"/>
      <c r="Y65" s="67"/>
    </row>
    <row r="66" spans="3:25" x14ac:dyDescent="0.25">
      <c r="C66" s="2"/>
      <c r="D66"/>
      <c r="E66"/>
      <c r="F66" s="66"/>
      <c r="G66" s="104"/>
      <c r="H66"/>
      <c r="I66" s="67"/>
      <c r="J66"/>
      <c r="L66"/>
      <c r="N66" s="66"/>
      <c r="O66" s="104"/>
      <c r="P66"/>
      <c r="Q66" s="67"/>
      <c r="R66"/>
      <c r="T66"/>
      <c r="V66" s="66"/>
      <c r="W66" s="104"/>
      <c r="X66"/>
      <c r="Y66" s="67"/>
    </row>
    <row r="67" spans="3:25" x14ac:dyDescent="0.25">
      <c r="C67" s="2"/>
      <c r="D67"/>
      <c r="E67"/>
      <c r="F67" s="66"/>
      <c r="G67" s="104"/>
      <c r="H67"/>
      <c r="I67" s="67"/>
      <c r="J67"/>
      <c r="L67"/>
      <c r="N67" s="66"/>
      <c r="O67" s="104"/>
      <c r="P67"/>
      <c r="Q67" s="67"/>
      <c r="R67"/>
      <c r="T67"/>
      <c r="V67" s="66"/>
      <c r="W67" s="104"/>
      <c r="X67"/>
      <c r="Y67" s="67"/>
    </row>
    <row r="68" spans="3:25" x14ac:dyDescent="0.25">
      <c r="C68" s="2"/>
      <c r="D68"/>
      <c r="E68"/>
      <c r="F68" s="66"/>
      <c r="G68" s="104"/>
      <c r="H68"/>
      <c r="I68" s="67"/>
      <c r="J68"/>
      <c r="L68"/>
      <c r="N68" s="66"/>
      <c r="O68" s="104"/>
      <c r="P68"/>
      <c r="Q68" s="67"/>
      <c r="R68"/>
      <c r="T68"/>
      <c r="V68" s="66"/>
      <c r="W68" s="104"/>
      <c r="X68"/>
      <c r="Y68" s="67"/>
    </row>
    <row r="69" spans="3:25" x14ac:dyDescent="0.25">
      <c r="C69" s="2"/>
      <c r="D69"/>
      <c r="E69"/>
      <c r="F69" s="66"/>
      <c r="G69" s="104"/>
      <c r="H69"/>
      <c r="I69" s="67"/>
      <c r="J69"/>
      <c r="L69"/>
      <c r="N69" s="66"/>
      <c r="O69" s="104"/>
      <c r="P69"/>
      <c r="Q69" s="67"/>
      <c r="R69"/>
      <c r="T69"/>
      <c r="V69" s="66"/>
      <c r="W69" s="104"/>
      <c r="X69"/>
      <c r="Y69" s="67"/>
    </row>
    <row r="70" spans="3:25" x14ac:dyDescent="0.25">
      <c r="C70" s="2"/>
      <c r="D70"/>
      <c r="E70"/>
      <c r="F70" s="66"/>
      <c r="G70" s="104"/>
      <c r="H70"/>
      <c r="I70" s="67"/>
      <c r="J70"/>
      <c r="L70"/>
      <c r="N70" s="66"/>
      <c r="O70" s="104"/>
      <c r="P70"/>
      <c r="Q70" s="67"/>
      <c r="R70"/>
      <c r="T70"/>
      <c r="V70" s="66"/>
      <c r="W70" s="104"/>
      <c r="X70"/>
      <c r="Y70" s="67"/>
    </row>
    <row r="71" spans="3:25" x14ac:dyDescent="0.25">
      <c r="C71" s="2"/>
      <c r="D71"/>
      <c r="E71"/>
      <c r="F71" s="66"/>
      <c r="G71" s="104"/>
      <c r="H71"/>
      <c r="I71" s="67"/>
      <c r="J71"/>
      <c r="L71"/>
      <c r="N71" s="66"/>
      <c r="O71" s="104"/>
      <c r="P71"/>
      <c r="Q71" s="67"/>
      <c r="R71"/>
      <c r="T71"/>
      <c r="V71" s="66"/>
      <c r="W71" s="104"/>
      <c r="X71"/>
      <c r="Y71" s="67"/>
    </row>
    <row r="72" spans="3:25" x14ac:dyDescent="0.25">
      <c r="C72" s="2"/>
      <c r="D72"/>
      <c r="E72"/>
      <c r="F72" s="66"/>
      <c r="G72" s="104"/>
      <c r="H72"/>
      <c r="I72" s="67"/>
      <c r="J72"/>
      <c r="L72"/>
      <c r="N72" s="66"/>
      <c r="O72" s="104"/>
      <c r="P72"/>
      <c r="Q72" s="67"/>
      <c r="R72"/>
      <c r="T72"/>
      <c r="V72" s="66"/>
      <c r="W72" s="104"/>
      <c r="X72"/>
      <c r="Y72" s="67"/>
    </row>
    <row r="73" spans="3:25" x14ac:dyDescent="0.25">
      <c r="C73" s="2"/>
      <c r="D73"/>
      <c r="E73"/>
      <c r="F73" s="66"/>
      <c r="G73" s="104"/>
      <c r="H73"/>
      <c r="I73" s="67"/>
      <c r="J73"/>
      <c r="L73"/>
      <c r="N73" s="66"/>
      <c r="O73" s="104"/>
      <c r="P73"/>
      <c r="Q73" s="67"/>
      <c r="R73"/>
      <c r="T73"/>
      <c r="V73" s="66"/>
      <c r="W73" s="104"/>
      <c r="X73"/>
      <c r="Y73" s="67"/>
    </row>
    <row r="74" spans="3:25" x14ac:dyDescent="0.25">
      <c r="C74" s="2"/>
      <c r="D74"/>
      <c r="E74"/>
      <c r="F74" s="66"/>
      <c r="G74" s="104"/>
      <c r="H74"/>
      <c r="I74" s="67"/>
      <c r="J74"/>
      <c r="L74"/>
      <c r="N74" s="66"/>
      <c r="O74" s="104"/>
      <c r="P74"/>
      <c r="Q74" s="67"/>
      <c r="R74"/>
      <c r="T74"/>
      <c r="V74" s="66"/>
      <c r="W74" s="104"/>
      <c r="X74"/>
      <c r="Y74" s="67"/>
    </row>
    <row r="75" spans="3:25" x14ac:dyDescent="0.25">
      <c r="C75" s="2"/>
      <c r="D75"/>
      <c r="E75"/>
      <c r="F75" s="66"/>
      <c r="G75" s="104"/>
      <c r="H75"/>
      <c r="I75" s="67"/>
      <c r="J75"/>
      <c r="L75"/>
      <c r="N75" s="66"/>
      <c r="O75" s="104"/>
      <c r="P75"/>
      <c r="Q75" s="67"/>
      <c r="R75"/>
      <c r="T75"/>
      <c r="V75" s="66"/>
      <c r="W75" s="104"/>
      <c r="X75"/>
      <c r="Y75" s="67"/>
    </row>
    <row r="76" spans="3:25" x14ac:dyDescent="0.25">
      <c r="C76" s="2"/>
      <c r="D76"/>
      <c r="E76"/>
      <c r="F76" s="66"/>
      <c r="G76" s="104"/>
      <c r="H76"/>
      <c r="I76" s="67"/>
      <c r="J76"/>
      <c r="L76"/>
      <c r="N76" s="66"/>
      <c r="O76" s="104"/>
      <c r="P76"/>
      <c r="Q76" s="67"/>
      <c r="R76"/>
      <c r="T76"/>
      <c r="V76" s="66"/>
      <c r="W76" s="104"/>
      <c r="X76"/>
      <c r="Y76" s="67"/>
    </row>
    <row r="77" spans="3:25" x14ac:dyDescent="0.25">
      <c r="C77" s="2"/>
      <c r="D77"/>
      <c r="E77"/>
      <c r="F77" s="66"/>
      <c r="G77" s="104"/>
      <c r="H77"/>
      <c r="I77" s="67"/>
      <c r="J77"/>
      <c r="L77"/>
      <c r="N77" s="66"/>
      <c r="O77" s="104"/>
      <c r="P77"/>
      <c r="Q77" s="67"/>
      <c r="R77"/>
      <c r="T77"/>
      <c r="V77" s="66"/>
      <c r="W77" s="104"/>
      <c r="X77"/>
      <c r="Y77" s="67"/>
    </row>
    <row r="78" spans="3:25" x14ac:dyDescent="0.25">
      <c r="C78" s="2"/>
      <c r="D78"/>
      <c r="E78"/>
      <c r="F78" s="66"/>
      <c r="G78" s="104"/>
      <c r="H78"/>
      <c r="I78" s="67"/>
      <c r="J78"/>
      <c r="L78"/>
      <c r="N78" s="66"/>
      <c r="O78" s="104"/>
      <c r="P78"/>
      <c r="Q78" s="67"/>
      <c r="R78"/>
      <c r="T78"/>
      <c r="V78" s="66"/>
      <c r="W78" s="104"/>
      <c r="X78"/>
      <c r="Y78" s="67"/>
    </row>
    <row r="79" spans="3:25" x14ac:dyDescent="0.25">
      <c r="C79" s="2"/>
      <c r="D79"/>
      <c r="E79"/>
      <c r="F79" s="66"/>
      <c r="G79" s="104"/>
      <c r="H79"/>
      <c r="I79" s="67"/>
      <c r="J79"/>
      <c r="L79"/>
      <c r="N79" s="66"/>
      <c r="O79" s="104"/>
      <c r="P79"/>
      <c r="Q79" s="67"/>
      <c r="R79"/>
      <c r="T79"/>
      <c r="V79" s="66"/>
      <c r="W79" s="104"/>
      <c r="X79"/>
      <c r="Y79" s="67"/>
    </row>
    <row r="80" spans="3:25" x14ac:dyDescent="0.25">
      <c r="C80" s="2"/>
      <c r="D80"/>
      <c r="E80"/>
      <c r="F80" s="66"/>
      <c r="G80" s="104"/>
      <c r="H80"/>
      <c r="I80" s="67"/>
      <c r="J80"/>
      <c r="L80"/>
      <c r="N80" s="66"/>
      <c r="O80" s="104"/>
      <c r="P80"/>
      <c r="Q80" s="67"/>
      <c r="R80"/>
      <c r="T80"/>
      <c r="V80" s="66"/>
      <c r="W80" s="104"/>
      <c r="X80"/>
      <c r="Y80" s="67"/>
    </row>
    <row r="81" spans="3:25" x14ac:dyDescent="0.25">
      <c r="C81" s="2"/>
      <c r="D81"/>
      <c r="E81"/>
      <c r="F81" s="66"/>
      <c r="G81" s="104"/>
      <c r="H81"/>
      <c r="I81" s="67"/>
      <c r="J81"/>
      <c r="L81"/>
      <c r="N81" s="66"/>
      <c r="O81" s="104"/>
      <c r="P81"/>
      <c r="Q81" s="67"/>
      <c r="R81"/>
      <c r="T81"/>
      <c r="V81" s="66"/>
      <c r="W81" s="104"/>
      <c r="X81"/>
      <c r="Y81" s="67"/>
    </row>
    <row r="82" spans="3:25" x14ac:dyDescent="0.25">
      <c r="C82" s="2"/>
      <c r="D82"/>
      <c r="E82"/>
      <c r="F82" s="66"/>
      <c r="G82" s="104"/>
      <c r="H82"/>
      <c r="L82"/>
      <c r="N82" s="66"/>
      <c r="O82" s="104"/>
      <c r="P82"/>
      <c r="T82"/>
      <c r="V82" s="66"/>
      <c r="W82" s="104"/>
      <c r="X82"/>
    </row>
    <row r="83" spans="3:25" x14ac:dyDescent="0.25">
      <c r="E83"/>
      <c r="L83"/>
      <c r="T83"/>
    </row>
    <row r="84" spans="3:25" x14ac:dyDescent="0.25">
      <c r="C84" s="2"/>
      <c r="D84"/>
      <c r="E84"/>
      <c r="F84" s="66"/>
      <c r="G84" s="104"/>
      <c r="H84"/>
      <c r="I84" s="67"/>
      <c r="J84"/>
      <c r="L84"/>
      <c r="N84" s="66"/>
      <c r="O84" s="104"/>
      <c r="P84"/>
      <c r="Q84" s="67"/>
      <c r="R84"/>
      <c r="T84"/>
      <c r="V84" s="66"/>
      <c r="W84" s="104"/>
      <c r="X84"/>
      <c r="Y84" s="67"/>
    </row>
    <row r="85" spans="3:25" x14ac:dyDescent="0.25">
      <c r="C85" s="2"/>
      <c r="D85"/>
      <c r="E85"/>
      <c r="F85" s="66"/>
      <c r="G85" s="104"/>
      <c r="H85"/>
      <c r="I85" s="67"/>
      <c r="J85"/>
      <c r="L85"/>
      <c r="N85" s="66"/>
      <c r="O85" s="104"/>
      <c r="P85"/>
      <c r="Q85" s="67"/>
      <c r="R85"/>
      <c r="T85"/>
      <c r="V85" s="66"/>
      <c r="W85" s="104"/>
      <c r="X85"/>
      <c r="Y85" s="67"/>
    </row>
    <row r="86" spans="3:25" x14ac:dyDescent="0.25">
      <c r="E86"/>
      <c r="L86"/>
      <c r="T86"/>
    </row>
    <row r="87" spans="3:25" x14ac:dyDescent="0.25">
      <c r="C87" s="2"/>
      <c r="E87"/>
      <c r="L87"/>
      <c r="T87"/>
    </row>
    <row r="88" spans="3:25" x14ac:dyDescent="0.25">
      <c r="C88" s="2"/>
      <c r="E88"/>
      <c r="J88" s="68"/>
      <c r="L88"/>
      <c r="R88" s="68"/>
      <c r="T88"/>
    </row>
    <row r="89" spans="3:25" x14ac:dyDescent="0.25">
      <c r="C89" s="2"/>
      <c r="E89"/>
      <c r="L89"/>
      <c r="T89"/>
    </row>
    <row r="90" spans="3:25" x14ac:dyDescent="0.25">
      <c r="C90" s="2"/>
      <c r="E90"/>
      <c r="L90"/>
      <c r="T90"/>
    </row>
    <row r="91" spans="3:25" x14ac:dyDescent="0.25">
      <c r="C91" s="2"/>
      <c r="E91"/>
      <c r="L91"/>
      <c r="T91"/>
    </row>
    <row r="92" spans="3:25" x14ac:dyDescent="0.25">
      <c r="C92" s="2"/>
      <c r="E92"/>
      <c r="L92"/>
      <c r="T92"/>
    </row>
    <row r="93" spans="3:25" x14ac:dyDescent="0.25">
      <c r="C93" s="2"/>
      <c r="E93"/>
      <c r="L93"/>
      <c r="T93"/>
    </row>
    <row r="94" spans="3:25" x14ac:dyDescent="0.25">
      <c r="C94" s="2"/>
      <c r="E94"/>
      <c r="L94"/>
      <c r="T94"/>
    </row>
    <row r="95" spans="3:25" x14ac:dyDescent="0.25">
      <c r="C95" s="2"/>
      <c r="E95"/>
      <c r="L95"/>
      <c r="T95"/>
    </row>
    <row r="96" spans="3:25" x14ac:dyDescent="0.25">
      <c r="C96" s="2"/>
      <c r="E96"/>
      <c r="L96"/>
      <c r="T96"/>
    </row>
    <row r="97" spans="3:20" x14ac:dyDescent="0.25">
      <c r="C97" s="2"/>
      <c r="E97"/>
      <c r="L97"/>
      <c r="T97"/>
    </row>
    <row r="98" spans="3:20" x14ac:dyDescent="0.25">
      <c r="C98" s="2"/>
      <c r="E98"/>
      <c r="L98"/>
      <c r="T98"/>
    </row>
    <row r="99" spans="3:20" x14ac:dyDescent="0.25">
      <c r="C99" s="2"/>
      <c r="E99"/>
      <c r="L99"/>
      <c r="T99"/>
    </row>
    <row r="100" spans="3:20" x14ac:dyDescent="0.25">
      <c r="C100" s="2"/>
      <c r="E100"/>
      <c r="L100"/>
      <c r="T100"/>
    </row>
    <row r="101" spans="3:20" x14ac:dyDescent="0.25">
      <c r="C101" s="2"/>
      <c r="E101"/>
      <c r="L101"/>
      <c r="T101"/>
    </row>
    <row r="102" spans="3:20" x14ac:dyDescent="0.25">
      <c r="C102" s="2"/>
      <c r="E102"/>
      <c r="L102"/>
      <c r="T102"/>
    </row>
    <row r="103" spans="3:20" x14ac:dyDescent="0.25">
      <c r="C103" s="2"/>
      <c r="E103"/>
      <c r="L103"/>
      <c r="T103"/>
    </row>
    <row r="104" spans="3:20" x14ac:dyDescent="0.25">
      <c r="C104" s="2"/>
      <c r="E104"/>
      <c r="L104"/>
      <c r="T104"/>
    </row>
    <row r="105" spans="3:20" x14ac:dyDescent="0.25">
      <c r="C105" s="2"/>
      <c r="E105"/>
      <c r="L105"/>
      <c r="T105"/>
    </row>
    <row r="106" spans="3:20" x14ac:dyDescent="0.25">
      <c r="C106" s="2"/>
      <c r="E106"/>
      <c r="L106"/>
      <c r="T106"/>
    </row>
    <row r="107" spans="3:20" x14ac:dyDescent="0.25">
      <c r="C107" s="2"/>
      <c r="E107"/>
      <c r="L107"/>
      <c r="T107"/>
    </row>
    <row r="108" spans="3:20" x14ac:dyDescent="0.25">
      <c r="C108" s="2"/>
      <c r="E108"/>
      <c r="L108"/>
      <c r="T108"/>
    </row>
    <row r="109" spans="3:20" x14ac:dyDescent="0.25">
      <c r="C109" s="2"/>
      <c r="E109"/>
      <c r="L109"/>
      <c r="T109"/>
    </row>
    <row r="110" spans="3:20" x14ac:dyDescent="0.25">
      <c r="C110" s="2"/>
      <c r="E110"/>
      <c r="L110"/>
      <c r="T110"/>
    </row>
    <row r="111" spans="3:20" x14ac:dyDescent="0.25">
      <c r="C111" s="2"/>
      <c r="E111"/>
      <c r="L111"/>
      <c r="T111"/>
    </row>
    <row r="112" spans="3:20" x14ac:dyDescent="0.25">
      <c r="C112" s="2"/>
      <c r="E112"/>
      <c r="L112"/>
      <c r="T112"/>
    </row>
    <row r="113" spans="3:20" x14ac:dyDescent="0.25">
      <c r="C113" s="2"/>
      <c r="E113"/>
      <c r="L113"/>
      <c r="T113"/>
    </row>
    <row r="114" spans="3:20" x14ac:dyDescent="0.25">
      <c r="C114" s="2"/>
      <c r="E114"/>
      <c r="L114"/>
      <c r="T114"/>
    </row>
    <row r="115" spans="3:20" x14ac:dyDescent="0.25">
      <c r="C115" s="2"/>
      <c r="E115"/>
      <c r="L115"/>
      <c r="T115"/>
    </row>
    <row r="116" spans="3:20" x14ac:dyDescent="0.25">
      <c r="C116" s="2"/>
      <c r="E116"/>
      <c r="L116"/>
      <c r="T116"/>
    </row>
    <row r="117" spans="3:20" x14ac:dyDescent="0.25">
      <c r="C117" s="2"/>
      <c r="E117"/>
      <c r="L117"/>
      <c r="T117"/>
    </row>
    <row r="118" spans="3:20" x14ac:dyDescent="0.25">
      <c r="C118" s="2"/>
      <c r="E118"/>
      <c r="L118"/>
      <c r="T118"/>
    </row>
    <row r="119" spans="3:20" x14ac:dyDescent="0.25">
      <c r="C119" s="2"/>
      <c r="E119"/>
      <c r="L119"/>
      <c r="T119"/>
    </row>
    <row r="120" spans="3:20" x14ac:dyDescent="0.25">
      <c r="C120" s="2"/>
      <c r="E120"/>
      <c r="L120"/>
      <c r="T120"/>
    </row>
    <row r="121" spans="3:20" x14ac:dyDescent="0.25">
      <c r="C121" s="2"/>
      <c r="E121"/>
      <c r="L121"/>
      <c r="T121"/>
    </row>
    <row r="122" spans="3:20" x14ac:dyDescent="0.25">
      <c r="C122" s="2"/>
      <c r="E122"/>
      <c r="L122"/>
      <c r="T122"/>
    </row>
    <row r="123" spans="3:20" x14ac:dyDescent="0.25">
      <c r="C123" s="2"/>
      <c r="E123"/>
      <c r="L123"/>
      <c r="T123"/>
    </row>
    <row r="124" spans="3:20" x14ac:dyDescent="0.25">
      <c r="C124" s="2"/>
      <c r="E124"/>
      <c r="L124"/>
      <c r="T124"/>
    </row>
    <row r="125" spans="3:20" x14ac:dyDescent="0.25">
      <c r="C125" s="2"/>
      <c r="E125"/>
      <c r="L125"/>
      <c r="T125"/>
    </row>
    <row r="126" spans="3:20" x14ac:dyDescent="0.25">
      <c r="C126" s="2"/>
      <c r="E126"/>
      <c r="L126"/>
      <c r="T126"/>
    </row>
    <row r="127" spans="3:20" x14ac:dyDescent="0.25">
      <c r="C127" s="2"/>
      <c r="E127"/>
      <c r="L127"/>
      <c r="T127"/>
    </row>
    <row r="128" spans="3:20" x14ac:dyDescent="0.25">
      <c r="C128" s="2"/>
      <c r="E128"/>
      <c r="L128"/>
      <c r="T128"/>
    </row>
    <row r="129" spans="3:20" x14ac:dyDescent="0.25">
      <c r="C129" s="2"/>
      <c r="E129"/>
      <c r="L129"/>
      <c r="T129"/>
    </row>
    <row r="130" spans="3:20" x14ac:dyDescent="0.25">
      <c r="C130" s="2"/>
      <c r="E130"/>
      <c r="L130"/>
      <c r="T130"/>
    </row>
    <row r="131" spans="3:20" x14ac:dyDescent="0.25">
      <c r="C131" s="2"/>
      <c r="E131"/>
      <c r="L131"/>
      <c r="T131"/>
    </row>
    <row r="132" spans="3:20" x14ac:dyDescent="0.25">
      <c r="C132" s="2"/>
      <c r="E132"/>
    </row>
    <row r="133" spans="3:20" x14ac:dyDescent="0.25">
      <c r="C133" s="2"/>
      <c r="E133"/>
    </row>
    <row r="134" spans="3:20" x14ac:dyDescent="0.25">
      <c r="C134" s="2"/>
      <c r="E134"/>
    </row>
    <row r="135" spans="3:20" x14ac:dyDescent="0.25">
      <c r="C135" s="2"/>
      <c r="E135"/>
    </row>
    <row r="136" spans="3:20" x14ac:dyDescent="0.25">
      <c r="C136" s="2"/>
      <c r="E136"/>
    </row>
    <row r="137" spans="3:20" x14ac:dyDescent="0.25">
      <c r="C137" s="2"/>
      <c r="E137"/>
    </row>
    <row r="138" spans="3:20" x14ac:dyDescent="0.25">
      <c r="C138" s="2"/>
      <c r="E138"/>
    </row>
    <row r="139" spans="3:20" x14ac:dyDescent="0.25">
      <c r="C139" s="2"/>
      <c r="E139"/>
    </row>
    <row r="140" spans="3:20" x14ac:dyDescent="0.25">
      <c r="C140" s="2"/>
      <c r="E140"/>
    </row>
    <row r="141" spans="3:20" x14ac:dyDescent="0.25">
      <c r="C141" s="2"/>
      <c r="E141"/>
    </row>
    <row r="142" spans="3:20" x14ac:dyDescent="0.25">
      <c r="C142" s="2"/>
      <c r="E142"/>
    </row>
    <row r="143" spans="3:20" x14ac:dyDescent="0.25">
      <c r="C143" s="2"/>
      <c r="E143"/>
    </row>
    <row r="144" spans="3:20" x14ac:dyDescent="0.25">
      <c r="C144" s="2"/>
      <c r="E144"/>
    </row>
    <row r="145" spans="3:5" x14ac:dyDescent="0.25">
      <c r="C145" s="2"/>
      <c r="E145"/>
    </row>
    <row r="146" spans="3:5" x14ac:dyDescent="0.25">
      <c r="C146" s="2"/>
      <c r="E146"/>
    </row>
    <row r="147" spans="3:5" x14ac:dyDescent="0.25">
      <c r="C147" s="2"/>
      <c r="E147"/>
    </row>
    <row r="148" spans="3:5" x14ac:dyDescent="0.25">
      <c r="C148" s="2"/>
      <c r="E148"/>
    </row>
    <row r="149" spans="3:5" x14ac:dyDescent="0.25">
      <c r="C149" s="2"/>
      <c r="E149"/>
    </row>
    <row r="150" spans="3:5" x14ac:dyDescent="0.25">
      <c r="C150" s="2"/>
      <c r="E150"/>
    </row>
    <row r="151" spans="3:5" x14ac:dyDescent="0.25">
      <c r="C151" s="2"/>
      <c r="E151"/>
    </row>
    <row r="152" spans="3:5" x14ac:dyDescent="0.25">
      <c r="C152" s="2"/>
      <c r="E152"/>
    </row>
    <row r="153" spans="3:5" x14ac:dyDescent="0.25">
      <c r="C153" s="2"/>
      <c r="E153"/>
    </row>
    <row r="154" spans="3:5" x14ac:dyDescent="0.25">
      <c r="C154" s="2"/>
      <c r="E154"/>
    </row>
    <row r="155" spans="3:5" x14ac:dyDescent="0.25">
      <c r="C155" s="2"/>
      <c r="E155"/>
    </row>
    <row r="156" spans="3:5" x14ac:dyDescent="0.25">
      <c r="C156" s="2"/>
      <c r="E156"/>
    </row>
    <row r="157" spans="3:5" x14ac:dyDescent="0.25">
      <c r="C157" s="2"/>
      <c r="E157"/>
    </row>
    <row r="158" spans="3:5" x14ac:dyDescent="0.25">
      <c r="C158" s="2"/>
      <c r="E158"/>
    </row>
    <row r="159" spans="3:5" x14ac:dyDescent="0.25">
      <c r="C159" s="2"/>
      <c r="E159"/>
    </row>
    <row r="160" spans="3:5" x14ac:dyDescent="0.25">
      <c r="C160" s="2"/>
      <c r="E160"/>
    </row>
    <row r="161" spans="3:5" x14ac:dyDescent="0.25">
      <c r="C161" s="2"/>
      <c r="E161"/>
    </row>
    <row r="162" spans="3:5" x14ac:dyDescent="0.25">
      <c r="C162" s="2"/>
      <c r="E162"/>
    </row>
    <row r="163" spans="3:5" x14ac:dyDescent="0.25">
      <c r="C163" s="2"/>
      <c r="E163"/>
    </row>
    <row r="164" spans="3:5" x14ac:dyDescent="0.25">
      <c r="C164" s="2"/>
      <c r="E164"/>
    </row>
    <row r="165" spans="3:5" x14ac:dyDescent="0.25">
      <c r="C165" s="2"/>
      <c r="E165"/>
    </row>
    <row r="166" spans="3:5" x14ac:dyDescent="0.25">
      <c r="C166" s="2"/>
      <c r="E166"/>
    </row>
    <row r="167" spans="3:5" x14ac:dyDescent="0.25">
      <c r="C167" s="2"/>
      <c r="E167"/>
    </row>
    <row r="168" spans="3:5" x14ac:dyDescent="0.25">
      <c r="C168" s="2"/>
      <c r="E168"/>
    </row>
    <row r="169" spans="3:5" x14ac:dyDescent="0.25">
      <c r="C169" s="2"/>
      <c r="E169"/>
    </row>
    <row r="170" spans="3:5" x14ac:dyDescent="0.25">
      <c r="C170" s="2"/>
      <c r="E170"/>
    </row>
    <row r="171" spans="3:5" x14ac:dyDescent="0.25">
      <c r="C171" s="2"/>
      <c r="E171"/>
    </row>
    <row r="172" spans="3:5" x14ac:dyDescent="0.25">
      <c r="C172" s="2"/>
      <c r="E172"/>
    </row>
    <row r="173" spans="3:5" x14ac:dyDescent="0.25">
      <c r="C173" s="2"/>
      <c r="E173"/>
    </row>
    <row r="174" spans="3:5" x14ac:dyDescent="0.25">
      <c r="C174" s="2"/>
      <c r="E174"/>
    </row>
    <row r="175" spans="3:5" x14ac:dyDescent="0.25">
      <c r="C175" s="2"/>
      <c r="E175"/>
    </row>
    <row r="176" spans="3:5" x14ac:dyDescent="0.25">
      <c r="C176" s="2"/>
      <c r="E176"/>
    </row>
    <row r="177" spans="3:5" x14ac:dyDescent="0.25">
      <c r="C177" s="2"/>
      <c r="E177"/>
    </row>
    <row r="178" spans="3:5" x14ac:dyDescent="0.25">
      <c r="C178" s="2"/>
      <c r="E178"/>
    </row>
    <row r="179" spans="3:5" x14ac:dyDescent="0.25">
      <c r="C179" s="2"/>
      <c r="E179"/>
    </row>
    <row r="180" spans="3:5" x14ac:dyDescent="0.25">
      <c r="C180" s="2"/>
      <c r="E180"/>
    </row>
    <row r="181" spans="3:5" x14ac:dyDescent="0.25">
      <c r="C181" s="2"/>
      <c r="E181"/>
    </row>
    <row r="182" spans="3:5" x14ac:dyDescent="0.25">
      <c r="C182" s="2"/>
      <c r="E182"/>
    </row>
  </sheetData>
  <phoneticPr fontId="5" type="noConversion"/>
  <printOptions horizontalCentered="1" verticalCentered="1"/>
  <pageMargins left="0" right="0" top="0.42" bottom="0.26" header="0.17" footer="0.11"/>
  <pageSetup paperSize="9" scale="78" orientation="landscape" horizontalDpi="300" verticalDpi="300" r:id="rId1"/>
  <headerFooter alignWithMargins="0">
    <oddHeader>&amp;C&amp;"Century Gothic,Normal"&amp;16&amp;ECLASSEMENT DEPARTEMENTS FRANÇAIS</oddHeader>
    <oddFooter>&amp;L&amp;8Ajustement = Disparus, doublons ou restaurés&amp;R&amp;9&amp;D - S.GREGORI (01 39 74 49 29)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V176"/>
  <sheetViews>
    <sheetView workbookViewId="0">
      <pane xSplit="2" ySplit="3" topLeftCell="C6" activePane="bottomRight" state="frozen"/>
      <selection activeCell="A40" sqref="A40"/>
      <selection pane="topRight" activeCell="A40" sqref="A40"/>
      <selection pane="bottomLeft" activeCell="A40" sqref="A40"/>
      <selection pane="bottomRight" activeCell="B52" sqref="B52"/>
    </sheetView>
  </sheetViews>
  <sheetFormatPr baseColWidth="10" defaultRowHeight="13.2" outlineLevelCol="1" x14ac:dyDescent="0.25"/>
  <cols>
    <col min="1" max="1" width="11.44140625" style="2" customWidth="1"/>
    <col min="2" max="2" width="4.5546875" style="2" customWidth="1"/>
    <col min="3" max="3" width="5.5546875" style="3" customWidth="1"/>
    <col min="4" max="10" width="4.44140625" style="3" hidden="1" customWidth="1" outlineLevel="1"/>
    <col min="11" max="11" width="4.44140625" style="3" hidden="1" customWidth="1" outlineLevel="1" collapsed="1"/>
    <col min="12" max="12" width="4.44140625" style="3" hidden="1" customWidth="1" outlineLevel="1"/>
    <col min="13" max="13" width="4.44140625" style="3" hidden="1" customWidth="1" outlineLevel="1" collapsed="1"/>
    <col min="14" max="20" width="4.44140625" style="3" hidden="1" customWidth="1" outlineLevel="1"/>
    <col min="21" max="23" width="3.6640625" style="3" hidden="1" customWidth="1" outlineLevel="1"/>
    <col min="24" max="30" width="4.109375" style="3" hidden="1" customWidth="1" outlineLevel="1"/>
    <col min="31" max="31" width="6.5546875" style="3" customWidth="1" collapsed="1"/>
    <col min="32" max="32" width="6.5546875" style="3" customWidth="1"/>
    <col min="33" max="41" width="4.44140625" style="3" hidden="1" customWidth="1" outlineLevel="1"/>
    <col min="42" max="42" width="4.44140625" style="3" hidden="1" customWidth="1" outlineLevel="1" collapsed="1"/>
    <col min="43" max="49" width="4.44140625" style="3" hidden="1" customWidth="1" outlineLevel="1"/>
    <col min="50" max="59" width="4.109375" style="3" hidden="1" customWidth="1" outlineLevel="1"/>
    <col min="60" max="60" width="6.5546875" style="3" customWidth="1" collapsed="1"/>
    <col min="61" max="63" width="6.5546875" style="3" customWidth="1"/>
    <col min="64" max="64" width="11.44140625" style="2" customWidth="1"/>
    <col min="65" max="65" width="4.5546875" customWidth="1"/>
    <col min="66" max="66" width="5.5546875" style="3" customWidth="1"/>
    <col min="67" max="67" width="5" style="3" hidden="1" customWidth="1" outlineLevel="1"/>
    <col min="68" max="83" width="4.44140625" style="3" hidden="1" customWidth="1" outlineLevel="1"/>
    <col min="84" max="86" width="4.5546875" style="3" hidden="1" customWidth="1" outlineLevel="1"/>
    <col min="87" max="88" width="4.109375" style="3" hidden="1" customWidth="1" outlineLevel="1"/>
    <col min="89" max="93" width="6.5546875" style="3" hidden="1" customWidth="1" outlineLevel="1"/>
    <col min="94" max="94" width="6.5546875" style="3" customWidth="1" collapsed="1"/>
    <col min="95" max="95" width="6.5546875" style="3" customWidth="1"/>
    <col min="96" max="112" width="4.44140625" style="3" hidden="1" customWidth="1" outlineLevel="1"/>
    <col min="113" max="115" width="4.44140625" style="3" hidden="1" customWidth="1" outlineLevel="1" collapsed="1"/>
    <col min="116" max="117" width="4.88671875" style="3" hidden="1" customWidth="1" outlineLevel="1"/>
    <col min="118" max="122" width="6.5546875" style="3" hidden="1" customWidth="1" outlineLevel="1"/>
    <col min="123" max="123" width="6.5546875" style="3" customWidth="1" collapsed="1"/>
    <col min="124" max="126" width="6.5546875" style="3" customWidth="1"/>
  </cols>
  <sheetData>
    <row r="1" spans="1:126" ht="13.8" thickBot="1" x14ac:dyDescent="0.3">
      <c r="A1" s="30"/>
      <c r="BL1" s="30"/>
    </row>
    <row r="2" spans="1:126" ht="13.8" thickBot="1" x14ac:dyDescent="0.3">
      <c r="C2" s="7"/>
      <c r="D2" s="4" t="s">
        <v>0</v>
      </c>
      <c r="E2" s="5"/>
      <c r="F2" s="110"/>
      <c r="G2" s="110"/>
      <c r="H2" s="110"/>
      <c r="I2" s="5"/>
      <c r="J2" s="5"/>
      <c r="K2" s="5"/>
      <c r="L2" s="110"/>
      <c r="M2" s="5"/>
      <c r="N2" s="5"/>
      <c r="O2" s="5"/>
      <c r="P2" s="5"/>
      <c r="Q2" s="5"/>
      <c r="R2" s="5"/>
      <c r="S2" s="5"/>
      <c r="T2" s="110"/>
      <c r="U2" s="5"/>
      <c r="V2" s="5"/>
      <c r="W2" s="5"/>
      <c r="X2" s="5"/>
      <c r="Y2" s="5"/>
      <c r="Z2" s="110"/>
      <c r="AA2" s="110"/>
      <c r="AB2" s="110"/>
      <c r="AC2" s="110"/>
      <c r="AD2" s="110"/>
      <c r="AE2" s="4" t="s">
        <v>0</v>
      </c>
      <c r="AF2" s="5"/>
      <c r="AG2" s="4" t="s">
        <v>1</v>
      </c>
      <c r="AH2" s="5"/>
      <c r="AI2" s="110"/>
      <c r="AJ2" s="110"/>
      <c r="AK2" s="110"/>
      <c r="AL2" s="5"/>
      <c r="AM2" s="5"/>
      <c r="AN2" s="110"/>
      <c r="AO2" s="110"/>
      <c r="AP2" s="5"/>
      <c r="AQ2" s="5"/>
      <c r="AR2" s="5"/>
      <c r="AS2" s="5"/>
      <c r="AT2" s="5"/>
      <c r="AU2" s="5"/>
      <c r="AV2" s="5"/>
      <c r="AW2" s="110"/>
      <c r="AX2" s="5"/>
      <c r="AY2" s="5"/>
      <c r="AZ2" s="5"/>
      <c r="BA2" s="5"/>
      <c r="BB2" s="5"/>
      <c r="BC2" s="110"/>
      <c r="BD2" s="110"/>
      <c r="BE2" s="110"/>
      <c r="BF2" s="110"/>
      <c r="BG2" s="110"/>
      <c r="BH2" s="4" t="s">
        <v>1</v>
      </c>
      <c r="BI2" s="5"/>
      <c r="BJ2" s="6" t="s">
        <v>0</v>
      </c>
      <c r="BK2" s="6" t="s">
        <v>1</v>
      </c>
      <c r="BN2" s="7"/>
      <c r="BO2" s="4" t="s">
        <v>0</v>
      </c>
      <c r="BP2" s="5"/>
      <c r="BQ2" s="110"/>
      <c r="BR2" s="110"/>
      <c r="BS2" s="110"/>
      <c r="BT2" s="5"/>
      <c r="BU2" s="5"/>
      <c r="BV2" s="110"/>
      <c r="BW2" s="110"/>
      <c r="BX2" s="5"/>
      <c r="BY2" s="5"/>
      <c r="BZ2" s="5"/>
      <c r="CA2" s="5"/>
      <c r="CB2" s="5"/>
      <c r="CC2" s="5"/>
      <c r="CD2" s="5"/>
      <c r="CE2" s="110"/>
      <c r="CF2" s="5"/>
      <c r="CG2" s="5"/>
      <c r="CH2" s="5"/>
      <c r="CI2" s="5"/>
      <c r="CJ2" s="5"/>
      <c r="CK2" s="5"/>
      <c r="CL2" s="5"/>
      <c r="CM2" s="5"/>
      <c r="CN2" s="5"/>
      <c r="CO2" s="110"/>
      <c r="CP2" s="4" t="s">
        <v>0</v>
      </c>
      <c r="CQ2" s="5"/>
      <c r="CR2" s="4" t="s">
        <v>1</v>
      </c>
      <c r="CS2" s="5"/>
      <c r="CT2" s="110"/>
      <c r="CU2" s="110"/>
      <c r="CV2" s="110"/>
      <c r="CW2" s="5"/>
      <c r="CX2" s="5"/>
      <c r="CY2" s="110"/>
      <c r="CZ2" s="110"/>
      <c r="DA2" s="5"/>
      <c r="DB2" s="5"/>
      <c r="DC2" s="5"/>
      <c r="DD2" s="5"/>
      <c r="DE2" s="5"/>
      <c r="DF2" s="5"/>
      <c r="DG2" s="5"/>
      <c r="DH2" s="110"/>
      <c r="DI2" s="5"/>
      <c r="DJ2" s="5"/>
      <c r="DK2" s="5"/>
      <c r="DL2" s="5"/>
      <c r="DM2" s="5"/>
      <c r="DN2" s="5"/>
      <c r="DO2" s="5"/>
      <c r="DP2" s="5"/>
      <c r="DQ2" s="5"/>
      <c r="DR2" s="110"/>
      <c r="DS2" s="4" t="s">
        <v>1</v>
      </c>
      <c r="DT2" s="5"/>
      <c r="DU2" s="6" t="s">
        <v>0</v>
      </c>
      <c r="DV2" s="6" t="s">
        <v>1</v>
      </c>
    </row>
    <row r="3" spans="1:126" ht="45" customHeight="1" x14ac:dyDescent="0.25">
      <c r="A3" s="69" t="s">
        <v>117</v>
      </c>
      <c r="B3" s="38"/>
      <c r="C3" s="40" t="s">
        <v>109</v>
      </c>
      <c r="D3" s="39">
        <v>1997</v>
      </c>
      <c r="E3" s="39">
        <v>1998</v>
      </c>
      <c r="F3" s="122" t="s">
        <v>177</v>
      </c>
      <c r="G3" s="39">
        <v>1999</v>
      </c>
      <c r="H3" s="39">
        <v>2000</v>
      </c>
      <c r="I3" s="39">
        <v>2001</v>
      </c>
      <c r="J3" s="39">
        <v>2002</v>
      </c>
      <c r="K3" s="39">
        <v>2003</v>
      </c>
      <c r="L3" s="39">
        <v>2004</v>
      </c>
      <c r="M3" s="39">
        <v>2005</v>
      </c>
      <c r="N3" s="39">
        <v>2006</v>
      </c>
      <c r="O3" s="39">
        <v>2007</v>
      </c>
      <c r="P3" s="39">
        <v>2008</v>
      </c>
      <c r="Q3" s="39">
        <v>2009</v>
      </c>
      <c r="R3" s="39">
        <v>2010</v>
      </c>
      <c r="S3" s="39">
        <v>2011</v>
      </c>
      <c r="T3" s="39">
        <v>2012</v>
      </c>
      <c r="U3" s="39">
        <v>2013</v>
      </c>
      <c r="V3" s="39">
        <v>2014</v>
      </c>
      <c r="W3" s="39">
        <v>2015</v>
      </c>
      <c r="X3" s="39">
        <v>2016</v>
      </c>
      <c r="Y3" s="39">
        <v>2017</v>
      </c>
      <c r="Z3" s="39">
        <v>2018</v>
      </c>
      <c r="AA3" s="39">
        <v>2019</v>
      </c>
      <c r="AB3" s="39">
        <v>2020</v>
      </c>
      <c r="AC3" s="39">
        <v>2021</v>
      </c>
      <c r="AD3" s="39">
        <v>2022</v>
      </c>
      <c r="AE3" s="39">
        <v>2022</v>
      </c>
      <c r="AF3" s="39">
        <v>2023</v>
      </c>
      <c r="AG3" s="39">
        <v>1997</v>
      </c>
      <c r="AH3" s="39">
        <v>1998</v>
      </c>
      <c r="AI3" s="122" t="s">
        <v>177</v>
      </c>
      <c r="AJ3" s="39">
        <v>1999</v>
      </c>
      <c r="AK3" s="39">
        <v>2000</v>
      </c>
      <c r="AL3" s="39">
        <v>2001</v>
      </c>
      <c r="AM3" s="39">
        <v>2002</v>
      </c>
      <c r="AN3" s="39">
        <v>2003</v>
      </c>
      <c r="AO3" s="39">
        <v>2004</v>
      </c>
      <c r="AP3" s="39">
        <v>2005</v>
      </c>
      <c r="AQ3" s="39">
        <v>2006</v>
      </c>
      <c r="AR3" s="39">
        <v>2007</v>
      </c>
      <c r="AS3" s="39">
        <v>2008</v>
      </c>
      <c r="AT3" s="39">
        <v>2009</v>
      </c>
      <c r="AU3" s="39">
        <v>2010</v>
      </c>
      <c r="AV3" s="39">
        <v>2011</v>
      </c>
      <c r="AW3" s="39">
        <v>2012</v>
      </c>
      <c r="AX3" s="39">
        <v>2013</v>
      </c>
      <c r="AY3" s="39">
        <v>2014</v>
      </c>
      <c r="AZ3" s="39">
        <v>2015</v>
      </c>
      <c r="BA3" s="39">
        <v>2016</v>
      </c>
      <c r="BB3" s="39">
        <v>2017</v>
      </c>
      <c r="BC3" s="39">
        <v>2018</v>
      </c>
      <c r="BD3" s="39">
        <v>2019</v>
      </c>
      <c r="BE3" s="39">
        <v>2020</v>
      </c>
      <c r="BF3" s="39">
        <v>2021</v>
      </c>
      <c r="BG3" s="39">
        <v>2022</v>
      </c>
      <c r="BH3" s="39">
        <v>2022</v>
      </c>
      <c r="BI3" s="39">
        <v>2023</v>
      </c>
      <c r="BJ3" s="95" t="s">
        <v>2</v>
      </c>
      <c r="BK3" s="96"/>
      <c r="BL3" s="69" t="str">
        <f>+A3</f>
        <v>PAYS</v>
      </c>
      <c r="BM3" s="38"/>
      <c r="BN3" s="40" t="s">
        <v>109</v>
      </c>
      <c r="BO3" s="39">
        <v>1997</v>
      </c>
      <c r="BP3" s="39">
        <v>1998</v>
      </c>
      <c r="BQ3" s="122" t="s">
        <v>177</v>
      </c>
      <c r="BR3" s="39">
        <v>1999</v>
      </c>
      <c r="BS3" s="39">
        <v>2000</v>
      </c>
      <c r="BT3" s="39">
        <v>2001</v>
      </c>
      <c r="BU3" s="39">
        <v>2002</v>
      </c>
      <c r="BV3" s="39">
        <v>2003</v>
      </c>
      <c r="BW3" s="39">
        <v>2004</v>
      </c>
      <c r="BX3" s="39">
        <v>2005</v>
      </c>
      <c r="BY3" s="39">
        <v>2006</v>
      </c>
      <c r="BZ3" s="39">
        <v>2007</v>
      </c>
      <c r="CA3" s="39">
        <v>2008</v>
      </c>
      <c r="CB3" s="39">
        <v>2009</v>
      </c>
      <c r="CC3" s="39">
        <v>2010</v>
      </c>
      <c r="CD3" s="39">
        <v>2011</v>
      </c>
      <c r="CE3" s="39">
        <v>2012</v>
      </c>
      <c r="CF3" s="39">
        <v>2013</v>
      </c>
      <c r="CG3" s="39">
        <v>2014</v>
      </c>
      <c r="CH3" s="39">
        <v>2015</v>
      </c>
      <c r="CI3" s="39">
        <v>2016</v>
      </c>
      <c r="CJ3" s="39">
        <v>2017</v>
      </c>
      <c r="CK3" s="39">
        <v>2018</v>
      </c>
      <c r="CL3" s="39">
        <v>2019</v>
      </c>
      <c r="CM3" s="39">
        <v>2020</v>
      </c>
      <c r="CN3" s="39">
        <v>2021</v>
      </c>
      <c r="CO3" s="39">
        <v>2022</v>
      </c>
      <c r="CP3" s="39">
        <v>2022</v>
      </c>
      <c r="CQ3" s="39">
        <v>2023</v>
      </c>
      <c r="CR3" s="39">
        <v>1997</v>
      </c>
      <c r="CS3" s="39">
        <v>1998</v>
      </c>
      <c r="CT3" s="122" t="s">
        <v>177</v>
      </c>
      <c r="CU3" s="39">
        <v>1999</v>
      </c>
      <c r="CV3" s="39">
        <v>2000</v>
      </c>
      <c r="CW3" s="39">
        <v>2001</v>
      </c>
      <c r="CX3" s="39">
        <v>2002</v>
      </c>
      <c r="CY3" s="39">
        <v>2003</v>
      </c>
      <c r="CZ3" s="39">
        <v>2004</v>
      </c>
      <c r="DA3" s="39">
        <v>2005</v>
      </c>
      <c r="DB3" s="39">
        <v>2006</v>
      </c>
      <c r="DC3" s="39">
        <v>2007</v>
      </c>
      <c r="DD3" s="39">
        <v>2008</v>
      </c>
      <c r="DE3" s="39">
        <v>2009</v>
      </c>
      <c r="DF3" s="39">
        <v>2010</v>
      </c>
      <c r="DG3" s="39">
        <v>2011</v>
      </c>
      <c r="DH3" s="39">
        <v>2012</v>
      </c>
      <c r="DI3" s="39">
        <v>2013</v>
      </c>
      <c r="DJ3" s="39">
        <v>2014</v>
      </c>
      <c r="DK3" s="39">
        <v>2015</v>
      </c>
      <c r="DL3" s="39">
        <v>2016</v>
      </c>
      <c r="DM3" s="39">
        <v>2017</v>
      </c>
      <c r="DN3" s="39">
        <v>2018</v>
      </c>
      <c r="DO3" s="39">
        <v>2019</v>
      </c>
      <c r="DP3" s="39">
        <v>2020</v>
      </c>
      <c r="DQ3" s="39">
        <v>2021</v>
      </c>
      <c r="DR3" s="39">
        <v>2022</v>
      </c>
      <c r="DS3" s="39">
        <v>2022</v>
      </c>
      <c r="DT3" s="39">
        <v>2023</v>
      </c>
      <c r="DU3" s="95" t="s">
        <v>2</v>
      </c>
      <c r="DV3" s="96"/>
    </row>
    <row r="4" spans="1:126" ht="16.5" customHeight="1" x14ac:dyDescent="0.25">
      <c r="A4" s="70" t="s">
        <v>201</v>
      </c>
      <c r="B4" s="44"/>
      <c r="C4" s="175"/>
      <c r="D4" s="100"/>
      <c r="E4" s="99"/>
      <c r="F4" s="99"/>
      <c r="G4" s="99"/>
      <c r="H4" s="99"/>
      <c r="I4" s="99"/>
      <c r="J4" s="45"/>
      <c r="K4" s="45"/>
      <c r="L4" s="45"/>
      <c r="M4" s="45"/>
      <c r="N4" s="45"/>
      <c r="O4" s="45">
        <v>1</v>
      </c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>
        <v>0</v>
      </c>
      <c r="AD4" s="177">
        <v>0</v>
      </c>
      <c r="AE4" s="99">
        <f>SUM(D4:AD4)</f>
        <v>1</v>
      </c>
      <c r="AF4" s="177">
        <v>0</v>
      </c>
      <c r="AG4" s="99"/>
      <c r="AH4" s="99"/>
      <c r="AI4" s="99"/>
      <c r="AJ4" s="99"/>
      <c r="AK4" s="99"/>
      <c r="AL4" s="45"/>
      <c r="AM4" s="45"/>
      <c r="AN4" s="45"/>
      <c r="AO4" s="45"/>
      <c r="AP4" s="45"/>
      <c r="AQ4" s="45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00">
        <f>SUM(AG4:BG4)</f>
        <v>0</v>
      </c>
      <c r="BI4" s="177">
        <v>0</v>
      </c>
      <c r="BJ4" s="46">
        <f>+C4+AE4+AF4</f>
        <v>1</v>
      </c>
      <c r="BK4" s="97">
        <f>+BH4+BI4</f>
        <v>0</v>
      </c>
      <c r="BL4" s="71" t="s">
        <v>104</v>
      </c>
      <c r="BM4" s="44"/>
      <c r="BN4" s="124">
        <f t="shared" ref="BN4:CS4" si="0">+C45</f>
        <v>0</v>
      </c>
      <c r="BO4" s="125">
        <f t="shared" si="0"/>
        <v>1399</v>
      </c>
      <c r="BP4" s="125">
        <f t="shared" si="0"/>
        <v>129</v>
      </c>
      <c r="BQ4" s="125">
        <f t="shared" si="0"/>
        <v>27</v>
      </c>
      <c r="BR4" s="125">
        <f t="shared" si="0"/>
        <v>204</v>
      </c>
      <c r="BS4" s="125">
        <f t="shared" si="0"/>
        <v>346</v>
      </c>
      <c r="BT4" s="125">
        <f t="shared" si="0"/>
        <v>402</v>
      </c>
      <c r="BU4" s="123">
        <f t="shared" si="0"/>
        <v>295</v>
      </c>
      <c r="BV4" s="123">
        <f t="shared" si="0"/>
        <v>571</v>
      </c>
      <c r="BW4" s="123">
        <f t="shared" si="0"/>
        <v>747</v>
      </c>
      <c r="BX4" s="123">
        <f t="shared" si="0"/>
        <v>567</v>
      </c>
      <c r="BY4" s="123">
        <f t="shared" si="0"/>
        <v>969</v>
      </c>
      <c r="BZ4" s="123">
        <f t="shared" si="0"/>
        <v>997</v>
      </c>
      <c r="CA4" s="123">
        <f t="shared" si="0"/>
        <v>969</v>
      </c>
      <c r="CB4" s="123">
        <f t="shared" si="0"/>
        <v>1025</v>
      </c>
      <c r="CC4" s="123">
        <f t="shared" si="0"/>
        <v>784</v>
      </c>
      <c r="CD4" s="123">
        <f t="shared" si="0"/>
        <v>853</v>
      </c>
      <c r="CE4" s="123">
        <f t="shared" si="0"/>
        <v>736</v>
      </c>
      <c r="CF4" s="123">
        <f t="shared" si="0"/>
        <v>666</v>
      </c>
      <c r="CG4" s="123">
        <f t="shared" si="0"/>
        <v>569</v>
      </c>
      <c r="CH4" s="123">
        <f t="shared" si="0"/>
        <v>364</v>
      </c>
      <c r="CI4" s="123">
        <f t="shared" si="0"/>
        <v>488</v>
      </c>
      <c r="CJ4" s="123">
        <f t="shared" si="0"/>
        <v>631</v>
      </c>
      <c r="CK4" s="123">
        <f t="shared" si="0"/>
        <v>1093</v>
      </c>
      <c r="CL4" s="123">
        <f t="shared" si="0"/>
        <v>1599</v>
      </c>
      <c r="CM4" s="123">
        <f t="shared" si="0"/>
        <v>1029</v>
      </c>
      <c r="CN4" s="123">
        <f t="shared" si="0"/>
        <v>1027</v>
      </c>
      <c r="CO4" s="123">
        <f t="shared" si="0"/>
        <v>1669</v>
      </c>
      <c r="CP4" s="123">
        <f t="shared" si="0"/>
        <v>20155</v>
      </c>
      <c r="CQ4" s="123">
        <f t="shared" si="0"/>
        <v>1275</v>
      </c>
      <c r="CR4" s="123">
        <f t="shared" si="0"/>
        <v>28</v>
      </c>
      <c r="CS4" s="123">
        <f t="shared" si="0"/>
        <v>0</v>
      </c>
      <c r="CT4" s="123">
        <f t="shared" ref="CT4:DV4" si="1">+AI45</f>
        <v>-28</v>
      </c>
      <c r="CU4" s="123">
        <f t="shared" si="1"/>
        <v>5</v>
      </c>
      <c r="CV4" s="123">
        <f t="shared" si="1"/>
        <v>0</v>
      </c>
      <c r="CW4" s="123">
        <f t="shared" si="1"/>
        <v>0</v>
      </c>
      <c r="CX4" s="123">
        <f t="shared" si="1"/>
        <v>0</v>
      </c>
      <c r="CY4" s="123">
        <f t="shared" si="1"/>
        <v>13</v>
      </c>
      <c r="CZ4" s="123">
        <f t="shared" si="1"/>
        <v>9</v>
      </c>
      <c r="DA4" s="123">
        <f t="shared" si="1"/>
        <v>15</v>
      </c>
      <c r="DB4" s="123">
        <f t="shared" si="1"/>
        <v>20</v>
      </c>
      <c r="DC4" s="123">
        <f t="shared" si="1"/>
        <v>25</v>
      </c>
      <c r="DD4" s="123">
        <f t="shared" si="1"/>
        <v>14</v>
      </c>
      <c r="DE4" s="123">
        <f t="shared" si="1"/>
        <v>9</v>
      </c>
      <c r="DF4" s="123">
        <f t="shared" si="1"/>
        <v>14</v>
      </c>
      <c r="DG4" s="123">
        <f t="shared" si="1"/>
        <v>8</v>
      </c>
      <c r="DH4" s="123">
        <f t="shared" si="1"/>
        <v>17</v>
      </c>
      <c r="DI4" s="123">
        <f t="shared" si="1"/>
        <v>8</v>
      </c>
      <c r="DJ4" s="123">
        <f t="shared" si="1"/>
        <v>1</v>
      </c>
      <c r="DK4" s="123">
        <f t="shared" si="1"/>
        <v>0</v>
      </c>
      <c r="DL4" s="123">
        <f t="shared" si="1"/>
        <v>1</v>
      </c>
      <c r="DM4" s="123">
        <f t="shared" si="1"/>
        <v>0</v>
      </c>
      <c r="DN4" s="123">
        <f t="shared" si="1"/>
        <v>8</v>
      </c>
      <c r="DO4" s="123">
        <f t="shared" si="1"/>
        <v>1</v>
      </c>
      <c r="DP4" s="123">
        <f t="shared" si="1"/>
        <v>0</v>
      </c>
      <c r="DQ4" s="123">
        <f t="shared" si="1"/>
        <v>0</v>
      </c>
      <c r="DR4" s="123">
        <f t="shared" si="1"/>
        <v>3</v>
      </c>
      <c r="DS4" s="123">
        <f t="shared" si="1"/>
        <v>171</v>
      </c>
      <c r="DT4" s="123">
        <f t="shared" si="1"/>
        <v>2</v>
      </c>
      <c r="DU4" s="123">
        <f t="shared" si="1"/>
        <v>21430</v>
      </c>
      <c r="DV4" s="126">
        <f t="shared" si="1"/>
        <v>173</v>
      </c>
    </row>
    <row r="5" spans="1:126" ht="16.5" customHeight="1" x14ac:dyDescent="0.25">
      <c r="A5" s="70" t="s">
        <v>120</v>
      </c>
      <c r="B5" s="44"/>
      <c r="C5" s="175"/>
      <c r="D5" s="100">
        <v>12</v>
      </c>
      <c r="E5" s="99"/>
      <c r="F5" s="99">
        <v>1</v>
      </c>
      <c r="G5" s="99"/>
      <c r="H5" s="99"/>
      <c r="I5" s="99"/>
      <c r="J5" s="45"/>
      <c r="K5" s="45"/>
      <c r="L5" s="45"/>
      <c r="M5" s="45"/>
      <c r="N5" s="45"/>
      <c r="O5" s="45"/>
      <c r="P5" s="177"/>
      <c r="Q5" s="177"/>
      <c r="R5" s="177"/>
      <c r="S5" s="177"/>
      <c r="T5" s="177">
        <v>1</v>
      </c>
      <c r="U5" s="177"/>
      <c r="V5" s="177"/>
      <c r="W5" s="177"/>
      <c r="X5" s="177"/>
      <c r="Y5" s="177">
        <v>3</v>
      </c>
      <c r="Z5" s="177"/>
      <c r="AA5" s="177"/>
      <c r="AB5" s="177"/>
      <c r="AC5" s="177">
        <v>0</v>
      </c>
      <c r="AD5" s="222">
        <f>3-1</f>
        <v>2</v>
      </c>
      <c r="AE5" s="99">
        <f t="shared" ref="AE5:AE44" si="2">SUM(D5:AD5)</f>
        <v>19</v>
      </c>
      <c r="AF5" s="177">
        <v>0</v>
      </c>
      <c r="AG5" s="99">
        <v>1</v>
      </c>
      <c r="AH5" s="99"/>
      <c r="AI5" s="99">
        <v>-1</v>
      </c>
      <c r="AJ5" s="99"/>
      <c r="AK5" s="99"/>
      <c r="AL5" s="45"/>
      <c r="AM5" s="45"/>
      <c r="AN5" s="45"/>
      <c r="AO5" s="45"/>
      <c r="AP5" s="45"/>
      <c r="AQ5" s="45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00">
        <f t="shared" ref="BH5:BH44" si="3">SUM(AG5:BG5)</f>
        <v>0</v>
      </c>
      <c r="BI5" s="177">
        <v>0</v>
      </c>
      <c r="BJ5" s="46">
        <f t="shared" ref="BJ5:BJ13" si="4">+C5+AE5+AF5</f>
        <v>19</v>
      </c>
      <c r="BK5" s="97">
        <f t="shared" ref="BK5:BK13" si="5">+BH5+BI5</f>
        <v>0</v>
      </c>
      <c r="BL5" s="70" t="s">
        <v>191</v>
      </c>
      <c r="BM5" s="52"/>
      <c r="BN5" s="175"/>
      <c r="BO5" s="52"/>
      <c r="BP5" s="52"/>
      <c r="BQ5" s="52"/>
      <c r="BR5" s="52"/>
      <c r="BS5" s="52"/>
      <c r="BT5" s="52"/>
      <c r="BU5" s="52"/>
      <c r="BV5" s="52"/>
      <c r="BW5" s="52"/>
      <c r="BX5" s="45">
        <v>1</v>
      </c>
      <c r="BY5" s="45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>
        <v>2</v>
      </c>
      <c r="CL5" s="177">
        <v>1</v>
      </c>
      <c r="CM5" s="177"/>
      <c r="CN5" s="177">
        <v>0</v>
      </c>
      <c r="CO5" s="177">
        <v>0</v>
      </c>
      <c r="CP5" s="99">
        <f>SUM(BO5:CO5)</f>
        <v>4</v>
      </c>
      <c r="CQ5" s="177">
        <v>0</v>
      </c>
      <c r="CR5" s="52"/>
      <c r="CS5" s="52"/>
      <c r="CT5" s="52"/>
      <c r="CU5" s="52"/>
      <c r="CV5" s="52"/>
      <c r="CW5" s="52"/>
      <c r="CX5" s="52"/>
      <c r="CY5" s="52"/>
      <c r="CZ5" s="52"/>
      <c r="DA5" s="45"/>
      <c r="DB5" s="45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>
        <v>0</v>
      </c>
      <c r="DS5" s="99">
        <v>0</v>
      </c>
      <c r="DT5" s="177">
        <v>0</v>
      </c>
      <c r="DU5" s="46">
        <v>4</v>
      </c>
      <c r="DV5" s="97">
        <v>0</v>
      </c>
    </row>
    <row r="6" spans="1:126" ht="16.5" customHeight="1" x14ac:dyDescent="0.25">
      <c r="A6" s="70" t="s">
        <v>121</v>
      </c>
      <c r="B6" s="44"/>
      <c r="C6" s="175"/>
      <c r="D6" s="100">
        <v>107</v>
      </c>
      <c r="E6" s="99">
        <v>7</v>
      </c>
      <c r="F6" s="99">
        <v>2</v>
      </c>
      <c r="G6" s="99">
        <v>1</v>
      </c>
      <c r="H6" s="99">
        <v>27</v>
      </c>
      <c r="I6" s="99">
        <v>94</v>
      </c>
      <c r="J6" s="45">
        <v>53</v>
      </c>
      <c r="K6" s="45">
        <v>26</v>
      </c>
      <c r="L6" s="45">
        <v>6</v>
      </c>
      <c r="M6" s="45">
        <v>17</v>
      </c>
      <c r="N6" s="45">
        <f>58-1</f>
        <v>57</v>
      </c>
      <c r="O6" s="45">
        <v>10</v>
      </c>
      <c r="P6" s="177">
        <v>31</v>
      </c>
      <c r="Q6" s="177"/>
      <c r="R6" s="177">
        <v>121</v>
      </c>
      <c r="S6" s="177">
        <v>114</v>
      </c>
      <c r="T6" s="222">
        <f>116-2</f>
        <v>114</v>
      </c>
      <c r="U6" s="177">
        <v>33</v>
      </c>
      <c r="V6" s="222">
        <f>164-4</f>
        <v>160</v>
      </c>
      <c r="W6" s="177"/>
      <c r="X6" s="177">
        <v>74</v>
      </c>
      <c r="Y6" s="177">
        <v>70</v>
      </c>
      <c r="Z6" s="177">
        <v>34</v>
      </c>
      <c r="AA6" s="177">
        <v>99</v>
      </c>
      <c r="AB6" s="222">
        <f>150-3</f>
        <v>147</v>
      </c>
      <c r="AC6" s="222">
        <f>48-3</f>
        <v>45</v>
      </c>
      <c r="AD6" s="237">
        <f>597-1</f>
        <v>596</v>
      </c>
      <c r="AE6" s="99">
        <f t="shared" si="2"/>
        <v>2045</v>
      </c>
      <c r="AF6" s="177">
        <v>120</v>
      </c>
      <c r="AG6" s="99">
        <v>2</v>
      </c>
      <c r="AH6" s="99"/>
      <c r="AI6" s="99">
        <v>-2</v>
      </c>
      <c r="AJ6" s="99"/>
      <c r="AK6" s="99"/>
      <c r="AL6" s="45"/>
      <c r="AM6" s="45"/>
      <c r="AN6" s="45"/>
      <c r="AO6" s="45"/>
      <c r="AP6" s="45"/>
      <c r="AQ6" s="45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237">
        <v>1</v>
      </c>
      <c r="BH6" s="100">
        <f t="shared" si="3"/>
        <v>1</v>
      </c>
      <c r="BI6" s="177">
        <v>0</v>
      </c>
      <c r="BJ6" s="46">
        <f t="shared" si="4"/>
        <v>2165</v>
      </c>
      <c r="BK6" s="97">
        <f t="shared" si="5"/>
        <v>1</v>
      </c>
      <c r="BL6" s="70" t="s">
        <v>213</v>
      </c>
      <c r="BM6" s="52"/>
      <c r="BN6" s="175"/>
      <c r="BO6" s="52"/>
      <c r="BP6" s="52"/>
      <c r="BQ6" s="52"/>
      <c r="BR6" s="52"/>
      <c r="BS6" s="52"/>
      <c r="BT6" s="52"/>
      <c r="BU6" s="52"/>
      <c r="BV6" s="52"/>
      <c r="BW6" s="52"/>
      <c r="BX6" s="45"/>
      <c r="BY6" s="45"/>
      <c r="BZ6" s="177"/>
      <c r="CA6" s="177"/>
      <c r="CB6" s="177"/>
      <c r="CC6" s="177"/>
      <c r="CD6" s="177"/>
      <c r="CE6" s="177"/>
      <c r="CF6" s="177"/>
      <c r="CG6" s="177"/>
      <c r="CH6" s="177"/>
      <c r="CI6" s="177">
        <v>3</v>
      </c>
      <c r="CJ6" s="177"/>
      <c r="CK6" s="177"/>
      <c r="CL6" s="177"/>
      <c r="CM6" s="177">
        <v>1</v>
      </c>
      <c r="CN6" s="177">
        <v>0</v>
      </c>
      <c r="CO6" s="177">
        <v>0</v>
      </c>
      <c r="CP6" s="99">
        <f t="shared" ref="CP6:CP44" si="6">SUM(BO6:CO6)</f>
        <v>4</v>
      </c>
      <c r="CQ6" s="177">
        <v>0</v>
      </c>
      <c r="CR6" s="52"/>
      <c r="CS6" s="52"/>
      <c r="CT6" s="52"/>
      <c r="CU6" s="52"/>
      <c r="CV6" s="52"/>
      <c r="CW6" s="52"/>
      <c r="CX6" s="52"/>
      <c r="CY6" s="52"/>
      <c r="CZ6" s="52"/>
      <c r="DA6" s="45"/>
      <c r="DB6" s="45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>
        <v>0</v>
      </c>
      <c r="DS6" s="99">
        <f t="shared" ref="DS6:DS43" si="7">SUM(CR6:DQ6)</f>
        <v>0</v>
      </c>
      <c r="DT6" s="177">
        <v>0</v>
      </c>
      <c r="DU6" s="46">
        <f t="shared" ref="DU6:DU22" si="8">+BN6+CP6+CQ6</f>
        <v>4</v>
      </c>
      <c r="DV6" s="97">
        <f t="shared" ref="DV6:DV22" si="9">+DS6+DT6</f>
        <v>0</v>
      </c>
    </row>
    <row r="7" spans="1:126" ht="16.5" customHeight="1" x14ac:dyDescent="0.25">
      <c r="A7" s="70" t="s">
        <v>123</v>
      </c>
      <c r="B7" s="52"/>
      <c r="C7" s="175"/>
      <c r="D7" s="99">
        <v>1</v>
      </c>
      <c r="E7" s="115"/>
      <c r="F7" s="115"/>
      <c r="G7" s="115"/>
      <c r="H7" s="115"/>
      <c r="I7" s="99"/>
      <c r="J7" s="100"/>
      <c r="K7" s="100"/>
      <c r="L7" s="100"/>
      <c r="M7" s="45"/>
      <c r="N7" s="45">
        <v>1</v>
      </c>
      <c r="O7" s="45"/>
      <c r="P7" s="177"/>
      <c r="Q7" s="177"/>
      <c r="R7" s="177"/>
      <c r="S7" s="177"/>
      <c r="T7" s="177"/>
      <c r="U7" s="177"/>
      <c r="V7" s="177"/>
      <c r="W7" s="177"/>
      <c r="X7" s="177"/>
      <c r="Y7" s="177">
        <v>9</v>
      </c>
      <c r="Z7" s="177">
        <v>1</v>
      </c>
      <c r="AA7" s="177"/>
      <c r="AB7" s="177"/>
      <c r="AC7" s="177">
        <v>0</v>
      </c>
      <c r="AD7" s="177">
        <v>0</v>
      </c>
      <c r="AE7" s="99">
        <f t="shared" si="2"/>
        <v>12</v>
      </c>
      <c r="AF7" s="177">
        <v>0</v>
      </c>
      <c r="AG7" s="99"/>
      <c r="AH7" s="99"/>
      <c r="AI7" s="99"/>
      <c r="AJ7" s="99"/>
      <c r="AK7" s="99"/>
      <c r="AL7" s="99"/>
      <c r="AM7" s="99"/>
      <c r="AN7" s="99"/>
      <c r="AO7" s="99"/>
      <c r="AP7" s="45"/>
      <c r="AQ7" s="45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00">
        <f t="shared" si="3"/>
        <v>0</v>
      </c>
      <c r="BI7" s="177">
        <v>0</v>
      </c>
      <c r="BJ7" s="46">
        <f t="shared" si="4"/>
        <v>12</v>
      </c>
      <c r="BK7" s="97">
        <f t="shared" si="5"/>
        <v>0</v>
      </c>
      <c r="BL7" s="70" t="s">
        <v>214</v>
      </c>
      <c r="BM7" s="52"/>
      <c r="BN7" s="175"/>
      <c r="BO7" s="52"/>
      <c r="BP7" s="52"/>
      <c r="BQ7" s="52"/>
      <c r="BR7" s="52"/>
      <c r="BS7" s="52"/>
      <c r="BT7" s="52"/>
      <c r="BU7" s="52"/>
      <c r="BV7" s="52"/>
      <c r="BW7" s="52"/>
      <c r="BX7" s="45"/>
      <c r="BY7" s="45"/>
      <c r="BZ7" s="177"/>
      <c r="CA7" s="177"/>
      <c r="CB7" s="177"/>
      <c r="CC7" s="177"/>
      <c r="CD7" s="177"/>
      <c r="CE7" s="177"/>
      <c r="CF7" s="177"/>
      <c r="CG7" s="177"/>
      <c r="CH7" s="177"/>
      <c r="CI7" s="177">
        <v>2</v>
      </c>
      <c r="CJ7" s="177"/>
      <c r="CK7" s="177"/>
      <c r="CL7" s="177"/>
      <c r="CM7" s="177"/>
      <c r="CN7" s="177">
        <v>0</v>
      </c>
      <c r="CO7" s="177">
        <v>0</v>
      </c>
      <c r="CP7" s="99">
        <f t="shared" si="6"/>
        <v>2</v>
      </c>
      <c r="CQ7" s="177">
        <v>0</v>
      </c>
      <c r="CR7" s="52"/>
      <c r="CS7" s="52"/>
      <c r="CT7" s="52"/>
      <c r="CU7" s="52"/>
      <c r="CV7" s="52"/>
      <c r="CW7" s="52"/>
      <c r="CX7" s="52"/>
      <c r="CY7" s="52"/>
      <c r="CZ7" s="52"/>
      <c r="DA7" s="45"/>
      <c r="DB7" s="45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7">
        <v>0</v>
      </c>
      <c r="DS7" s="99">
        <f t="shared" si="7"/>
        <v>0</v>
      </c>
      <c r="DT7" s="177">
        <v>0</v>
      </c>
      <c r="DU7" s="46">
        <f t="shared" si="8"/>
        <v>2</v>
      </c>
      <c r="DV7" s="97">
        <f t="shared" si="9"/>
        <v>0</v>
      </c>
    </row>
    <row r="8" spans="1:126" ht="16.5" customHeight="1" x14ac:dyDescent="0.25">
      <c r="A8" s="70" t="s">
        <v>187</v>
      </c>
      <c r="B8" s="52"/>
      <c r="C8" s="175"/>
      <c r="D8" s="100"/>
      <c r="E8" s="99"/>
      <c r="F8" s="99"/>
      <c r="G8" s="99"/>
      <c r="H8" s="99"/>
      <c r="I8" s="99"/>
      <c r="J8" s="45"/>
      <c r="K8" s="45"/>
      <c r="L8" s="45"/>
      <c r="M8" s="45">
        <v>1</v>
      </c>
      <c r="N8" s="45"/>
      <c r="O8" s="45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>
        <v>0</v>
      </c>
      <c r="AD8" s="177">
        <v>0</v>
      </c>
      <c r="AE8" s="99">
        <f t="shared" si="2"/>
        <v>1</v>
      </c>
      <c r="AF8" s="177">
        <v>0</v>
      </c>
      <c r="AG8" s="99"/>
      <c r="AH8" s="99"/>
      <c r="AI8" s="99"/>
      <c r="AJ8" s="99"/>
      <c r="AK8" s="99"/>
      <c r="AL8" s="45"/>
      <c r="AM8" s="45"/>
      <c r="AN8" s="45"/>
      <c r="AO8" s="45"/>
      <c r="AP8" s="45"/>
      <c r="AQ8" s="45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00">
        <f t="shared" si="3"/>
        <v>0</v>
      </c>
      <c r="BI8" s="177">
        <v>0</v>
      </c>
      <c r="BJ8" s="46">
        <f t="shared" si="4"/>
        <v>1</v>
      </c>
      <c r="BK8" s="97">
        <f t="shared" si="5"/>
        <v>0</v>
      </c>
      <c r="BL8" s="70" t="s">
        <v>224</v>
      </c>
      <c r="BM8" s="52"/>
      <c r="BN8" s="175"/>
      <c r="BO8" s="52"/>
      <c r="BP8" s="52"/>
      <c r="BQ8" s="52"/>
      <c r="BR8" s="52"/>
      <c r="BS8" s="52"/>
      <c r="BT8" s="52"/>
      <c r="BU8" s="52"/>
      <c r="BV8" s="52"/>
      <c r="BW8" s="52"/>
      <c r="BX8" s="45"/>
      <c r="BY8" s="45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>
        <v>1</v>
      </c>
      <c r="CO8" s="177">
        <v>0</v>
      </c>
      <c r="CP8" s="99">
        <f t="shared" si="6"/>
        <v>1</v>
      </c>
      <c r="CQ8" s="177">
        <v>0</v>
      </c>
      <c r="CR8" s="52"/>
      <c r="CS8" s="52"/>
      <c r="CT8" s="52"/>
      <c r="CU8" s="52"/>
      <c r="CV8" s="52"/>
      <c r="CW8" s="52"/>
      <c r="CX8" s="52"/>
      <c r="CY8" s="52"/>
      <c r="CZ8" s="52"/>
      <c r="DA8" s="45"/>
      <c r="DB8" s="45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>
        <v>0</v>
      </c>
      <c r="DS8" s="99">
        <f t="shared" si="7"/>
        <v>0</v>
      </c>
      <c r="DT8" s="177">
        <v>0</v>
      </c>
      <c r="DU8" s="46">
        <f t="shared" si="8"/>
        <v>1</v>
      </c>
      <c r="DV8" s="97">
        <f t="shared" si="9"/>
        <v>0</v>
      </c>
    </row>
    <row r="9" spans="1:126" ht="16.5" customHeight="1" x14ac:dyDescent="0.25">
      <c r="A9" s="70" t="s">
        <v>125</v>
      </c>
      <c r="B9" s="174"/>
      <c r="C9" s="175"/>
      <c r="D9" s="100">
        <v>1</v>
      </c>
      <c r="E9" s="99"/>
      <c r="F9" s="99"/>
      <c r="G9" s="99">
        <v>1</v>
      </c>
      <c r="H9" s="99"/>
      <c r="I9" s="99"/>
      <c r="J9" s="45"/>
      <c r="K9" s="45"/>
      <c r="L9" s="45"/>
      <c r="M9" s="45">
        <v>1</v>
      </c>
      <c r="N9" s="45"/>
      <c r="O9" s="45"/>
      <c r="P9" s="177"/>
      <c r="Q9" s="177">
        <v>4</v>
      </c>
      <c r="R9" s="177"/>
      <c r="S9" s="177"/>
      <c r="T9" s="177"/>
      <c r="U9" s="177"/>
      <c r="V9" s="177"/>
      <c r="W9" s="177"/>
      <c r="X9" s="177"/>
      <c r="Y9" s="177">
        <v>5</v>
      </c>
      <c r="Z9" s="177">
        <v>9</v>
      </c>
      <c r="AA9" s="177"/>
      <c r="AB9" s="177"/>
      <c r="AC9" s="177">
        <v>0</v>
      </c>
      <c r="AD9" s="177">
        <v>0</v>
      </c>
      <c r="AE9" s="99">
        <f t="shared" si="2"/>
        <v>21</v>
      </c>
      <c r="AF9" s="177">
        <v>0</v>
      </c>
      <c r="AG9" s="99"/>
      <c r="AH9" s="99"/>
      <c r="AI9" s="99"/>
      <c r="AJ9" s="99"/>
      <c r="AK9" s="99"/>
      <c r="AL9" s="45"/>
      <c r="AM9" s="45"/>
      <c r="AN9" s="45"/>
      <c r="AO9" s="45"/>
      <c r="AP9" s="45"/>
      <c r="AQ9" s="45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00">
        <f t="shared" si="3"/>
        <v>0</v>
      </c>
      <c r="BI9" s="177">
        <v>0</v>
      </c>
      <c r="BJ9" s="46">
        <f t="shared" si="4"/>
        <v>21</v>
      </c>
      <c r="BK9" s="97">
        <f t="shared" si="5"/>
        <v>0</v>
      </c>
      <c r="BL9" s="70" t="s">
        <v>161</v>
      </c>
      <c r="BM9" s="52"/>
      <c r="BN9" s="175"/>
      <c r="BO9" s="99">
        <v>7</v>
      </c>
      <c r="BP9" s="115"/>
      <c r="BQ9" s="115"/>
      <c r="BR9" s="115"/>
      <c r="BS9" s="115"/>
      <c r="BT9" s="99"/>
      <c r="BU9" s="100"/>
      <c r="BV9" s="100"/>
      <c r="BW9" s="100"/>
      <c r="BX9" s="45"/>
      <c r="BY9" s="45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  <c r="CN9" s="177">
        <v>0</v>
      </c>
      <c r="CO9" s="177">
        <v>0</v>
      </c>
      <c r="CP9" s="99">
        <f t="shared" si="6"/>
        <v>7</v>
      </c>
      <c r="CQ9" s="177">
        <v>0</v>
      </c>
      <c r="CR9" s="99"/>
      <c r="CS9" s="99"/>
      <c r="CT9" s="99"/>
      <c r="CU9" s="99"/>
      <c r="CV9" s="99"/>
      <c r="CW9" s="99"/>
      <c r="CX9" s="99"/>
      <c r="CY9" s="99"/>
      <c r="CZ9" s="99"/>
      <c r="DA9" s="45"/>
      <c r="DB9" s="45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>
        <v>0</v>
      </c>
      <c r="DS9" s="99">
        <f t="shared" si="7"/>
        <v>0</v>
      </c>
      <c r="DT9" s="177">
        <v>0</v>
      </c>
      <c r="DU9" s="46">
        <f t="shared" si="8"/>
        <v>7</v>
      </c>
      <c r="DV9" s="97">
        <f t="shared" si="9"/>
        <v>0</v>
      </c>
    </row>
    <row r="10" spans="1:126" ht="16.5" customHeight="1" x14ac:dyDescent="0.25">
      <c r="A10" s="70" t="s">
        <v>192</v>
      </c>
      <c r="B10" s="44"/>
      <c r="C10" s="175"/>
      <c r="D10" s="100"/>
      <c r="E10" s="99"/>
      <c r="F10" s="99"/>
      <c r="G10" s="99"/>
      <c r="H10" s="99"/>
      <c r="I10" s="99"/>
      <c r="J10" s="45"/>
      <c r="K10" s="45"/>
      <c r="L10" s="45"/>
      <c r="M10" s="45">
        <v>1</v>
      </c>
      <c r="N10" s="45">
        <v>1</v>
      </c>
      <c r="O10" s="45"/>
      <c r="P10" s="177"/>
      <c r="Q10" s="177"/>
      <c r="R10" s="177"/>
      <c r="S10" s="177"/>
      <c r="T10" s="177"/>
      <c r="U10" s="177"/>
      <c r="V10" s="222">
        <v>-1</v>
      </c>
      <c r="W10" s="177">
        <v>1</v>
      </c>
      <c r="X10" s="177"/>
      <c r="Y10" s="177"/>
      <c r="Z10" s="177"/>
      <c r="AA10" s="177"/>
      <c r="AB10" s="177">
        <v>1</v>
      </c>
      <c r="AC10" s="177">
        <v>27</v>
      </c>
      <c r="AD10" s="222">
        <f>0-1</f>
        <v>-1</v>
      </c>
      <c r="AE10" s="99">
        <f t="shared" si="2"/>
        <v>29</v>
      </c>
      <c r="AF10" s="177">
        <v>0</v>
      </c>
      <c r="AG10" s="99"/>
      <c r="AH10" s="99"/>
      <c r="AI10" s="99"/>
      <c r="AJ10" s="99"/>
      <c r="AK10" s="99"/>
      <c r="AL10" s="45"/>
      <c r="AM10" s="45"/>
      <c r="AN10" s="45"/>
      <c r="AO10" s="45"/>
      <c r="AP10" s="45"/>
      <c r="AQ10" s="45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00">
        <f t="shared" si="3"/>
        <v>0</v>
      </c>
      <c r="BI10" s="177">
        <v>0</v>
      </c>
      <c r="BJ10" s="46">
        <f t="shared" si="4"/>
        <v>29</v>
      </c>
      <c r="BK10" s="97">
        <f t="shared" si="5"/>
        <v>0</v>
      </c>
      <c r="BL10" s="70" t="s">
        <v>186</v>
      </c>
      <c r="BM10" s="52"/>
      <c r="BN10" s="175"/>
      <c r="BO10" s="99"/>
      <c r="BP10" s="115"/>
      <c r="BQ10" s="115"/>
      <c r="BR10" s="115"/>
      <c r="BS10" s="115"/>
      <c r="BT10" s="99"/>
      <c r="BU10" s="100"/>
      <c r="BV10" s="100">
        <v>1</v>
      </c>
      <c r="BW10" s="100"/>
      <c r="BX10" s="45"/>
      <c r="BY10" s="45"/>
      <c r="BZ10" s="177"/>
      <c r="CA10" s="177"/>
      <c r="CB10" s="177"/>
      <c r="CC10" s="177"/>
      <c r="CD10" s="177"/>
      <c r="CE10" s="177"/>
      <c r="CF10" s="177">
        <v>2</v>
      </c>
      <c r="CG10" s="177"/>
      <c r="CH10" s="177"/>
      <c r="CI10" s="177"/>
      <c r="CJ10" s="177"/>
      <c r="CK10" s="177"/>
      <c r="CL10" s="177"/>
      <c r="CM10" s="177"/>
      <c r="CN10" s="177">
        <v>0</v>
      </c>
      <c r="CO10" s="177">
        <v>0</v>
      </c>
      <c r="CP10" s="99">
        <f t="shared" si="6"/>
        <v>3</v>
      </c>
      <c r="CQ10" s="177">
        <v>0</v>
      </c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179"/>
      <c r="DD10" s="179"/>
      <c r="DE10" s="179"/>
      <c r="DF10" s="179"/>
      <c r="DG10" s="177"/>
      <c r="DH10" s="177"/>
      <c r="DI10" s="177"/>
      <c r="DJ10" s="177"/>
      <c r="DK10" s="177"/>
      <c r="DL10" s="177"/>
      <c r="DM10" s="177"/>
      <c r="DN10" s="177"/>
      <c r="DO10" s="177"/>
      <c r="DP10" s="177"/>
      <c r="DQ10" s="177"/>
      <c r="DR10" s="177">
        <v>0</v>
      </c>
      <c r="DS10" s="99">
        <f t="shared" si="7"/>
        <v>0</v>
      </c>
      <c r="DT10" s="177">
        <v>0</v>
      </c>
      <c r="DU10" s="46">
        <f t="shared" si="8"/>
        <v>3</v>
      </c>
      <c r="DV10" s="97">
        <f t="shared" si="9"/>
        <v>0</v>
      </c>
    </row>
    <row r="11" spans="1:126" ht="16.5" customHeight="1" x14ac:dyDescent="0.25">
      <c r="A11" s="70" t="s">
        <v>184</v>
      </c>
      <c r="B11" s="44"/>
      <c r="C11" s="175"/>
      <c r="D11" s="100"/>
      <c r="E11" s="99"/>
      <c r="F11" s="99"/>
      <c r="G11" s="99"/>
      <c r="H11" s="99"/>
      <c r="I11" s="99"/>
      <c r="J11" s="45"/>
      <c r="K11" s="45">
        <v>1</v>
      </c>
      <c r="L11" s="45"/>
      <c r="M11" s="45"/>
      <c r="N11" s="45"/>
      <c r="O11" s="45"/>
      <c r="P11" s="177"/>
      <c r="Q11" s="177"/>
      <c r="R11" s="177"/>
      <c r="S11" s="177"/>
      <c r="T11" s="177"/>
      <c r="U11" s="177"/>
      <c r="V11" s="177"/>
      <c r="W11" s="177">
        <v>1</v>
      </c>
      <c r="X11" s="177"/>
      <c r="Y11" s="177"/>
      <c r="Z11" s="177"/>
      <c r="AA11" s="177">
        <v>17</v>
      </c>
      <c r="AB11" s="177"/>
      <c r="AC11" s="177">
        <v>0</v>
      </c>
      <c r="AD11" s="177">
        <v>0</v>
      </c>
      <c r="AE11" s="99">
        <f t="shared" si="2"/>
        <v>19</v>
      </c>
      <c r="AF11" s="177">
        <v>0</v>
      </c>
      <c r="AG11" s="99"/>
      <c r="AH11" s="99"/>
      <c r="AI11" s="99"/>
      <c r="AJ11" s="99"/>
      <c r="AK11" s="99"/>
      <c r="AL11" s="45"/>
      <c r="AM11" s="45"/>
      <c r="AN11" s="45"/>
      <c r="AO11" s="45"/>
      <c r="AP11" s="45"/>
      <c r="AQ11" s="45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00">
        <f t="shared" si="3"/>
        <v>0</v>
      </c>
      <c r="BI11" s="177">
        <v>0</v>
      </c>
      <c r="BJ11" s="46">
        <f t="shared" si="4"/>
        <v>19</v>
      </c>
      <c r="BK11" s="97">
        <f t="shared" si="5"/>
        <v>0</v>
      </c>
      <c r="BL11" s="70" t="s">
        <v>163</v>
      </c>
      <c r="BM11" s="52"/>
      <c r="BN11" s="175"/>
      <c r="BO11" s="99">
        <v>7</v>
      </c>
      <c r="BP11" s="115"/>
      <c r="BQ11" s="115"/>
      <c r="BR11" s="115"/>
      <c r="BS11" s="115"/>
      <c r="BT11" s="99"/>
      <c r="BU11" s="100"/>
      <c r="BV11" s="100"/>
      <c r="BW11" s="100"/>
      <c r="BX11" s="100"/>
      <c r="BY11" s="100"/>
      <c r="BZ11" s="178"/>
      <c r="CA11" s="178"/>
      <c r="CB11" s="178"/>
      <c r="CC11" s="178">
        <v>6</v>
      </c>
      <c r="CD11" s="177">
        <v>1</v>
      </c>
      <c r="CE11" s="177"/>
      <c r="CF11" s="177"/>
      <c r="CG11" s="177"/>
      <c r="CH11" s="177"/>
      <c r="CI11" s="177"/>
      <c r="CJ11" s="177"/>
      <c r="CK11" s="177"/>
      <c r="CL11" s="177">
        <v>1</v>
      </c>
      <c r="CM11" s="177"/>
      <c r="CN11" s="177">
        <v>0</v>
      </c>
      <c r="CO11" s="177">
        <v>0</v>
      </c>
      <c r="CP11" s="99">
        <f t="shared" si="6"/>
        <v>15</v>
      </c>
      <c r="CQ11" s="177">
        <v>0</v>
      </c>
      <c r="CR11" s="99">
        <v>1</v>
      </c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179"/>
      <c r="DD11" s="179"/>
      <c r="DE11" s="179"/>
      <c r="DF11" s="179"/>
      <c r="DG11" s="177"/>
      <c r="DH11" s="177"/>
      <c r="DI11" s="177"/>
      <c r="DJ11" s="177"/>
      <c r="DK11" s="177"/>
      <c r="DL11" s="177"/>
      <c r="DM11" s="177"/>
      <c r="DN11" s="177"/>
      <c r="DO11" s="177"/>
      <c r="DP11" s="177"/>
      <c r="DQ11" s="177"/>
      <c r="DR11" s="177">
        <v>0</v>
      </c>
      <c r="DS11" s="99">
        <f t="shared" si="7"/>
        <v>1</v>
      </c>
      <c r="DT11" s="177">
        <v>0</v>
      </c>
      <c r="DU11" s="46">
        <f t="shared" si="8"/>
        <v>15</v>
      </c>
      <c r="DV11" s="97">
        <f t="shared" si="9"/>
        <v>1</v>
      </c>
    </row>
    <row r="12" spans="1:126" ht="16.5" customHeight="1" x14ac:dyDescent="0.25">
      <c r="A12" s="70" t="s">
        <v>127</v>
      </c>
      <c r="B12" s="44"/>
      <c r="C12" s="175"/>
      <c r="D12" s="100">
        <v>113</v>
      </c>
      <c r="E12" s="99"/>
      <c r="F12" s="99"/>
      <c r="G12" s="99"/>
      <c r="H12" s="99">
        <v>6</v>
      </c>
      <c r="I12" s="99"/>
      <c r="J12" s="45">
        <v>7</v>
      </c>
      <c r="K12" s="45">
        <f>80-1</f>
        <v>79</v>
      </c>
      <c r="L12" s="45">
        <f>17-1</f>
        <v>16</v>
      </c>
      <c r="M12" s="45">
        <v>-3</v>
      </c>
      <c r="N12" s="45">
        <f>31-3</f>
        <v>28</v>
      </c>
      <c r="O12" s="45">
        <f>59-3</f>
        <v>56</v>
      </c>
      <c r="P12" s="222">
        <f>162-3</f>
        <v>159</v>
      </c>
      <c r="Q12" s="177">
        <v>226</v>
      </c>
      <c r="R12" s="177">
        <v>144</v>
      </c>
      <c r="S12" s="177">
        <v>25</v>
      </c>
      <c r="T12" s="177">
        <v>187</v>
      </c>
      <c r="U12" s="177">
        <v>5</v>
      </c>
      <c r="V12" s="222">
        <f>35-1</f>
        <v>34</v>
      </c>
      <c r="W12" s="177">
        <v>1</v>
      </c>
      <c r="X12" s="222">
        <f>29-10</f>
        <v>19</v>
      </c>
      <c r="Y12" s="177">
        <v>222</v>
      </c>
      <c r="Z12" s="222">
        <f>222-3</f>
        <v>219</v>
      </c>
      <c r="AA12" s="177">
        <v>111</v>
      </c>
      <c r="AB12" s="222">
        <f>193-3</f>
        <v>190</v>
      </c>
      <c r="AC12" s="177">
        <v>0</v>
      </c>
      <c r="AD12" s="177">
        <v>0</v>
      </c>
      <c r="AE12" s="99">
        <f t="shared" si="2"/>
        <v>1844</v>
      </c>
      <c r="AF12" s="177">
        <v>0</v>
      </c>
      <c r="AG12" s="99"/>
      <c r="AH12" s="99"/>
      <c r="AI12" s="99"/>
      <c r="AJ12" s="99"/>
      <c r="AK12" s="99"/>
      <c r="AL12" s="45"/>
      <c r="AM12" s="45"/>
      <c r="AN12" s="45"/>
      <c r="AO12" s="45"/>
      <c r="AP12" s="45"/>
      <c r="AQ12" s="45"/>
      <c r="AR12" s="177"/>
      <c r="AS12" s="177"/>
      <c r="AT12" s="177"/>
      <c r="AU12" s="177"/>
      <c r="AV12" s="177">
        <v>1</v>
      </c>
      <c r="AW12" s="177"/>
      <c r="AX12" s="177"/>
      <c r="AY12" s="177"/>
      <c r="AZ12" s="177"/>
      <c r="BA12" s="177"/>
      <c r="BB12" s="177"/>
      <c r="BC12" s="177">
        <v>4</v>
      </c>
      <c r="BD12" s="177"/>
      <c r="BE12" s="177"/>
      <c r="BF12" s="177"/>
      <c r="BG12" s="177"/>
      <c r="BH12" s="100">
        <f t="shared" si="3"/>
        <v>5</v>
      </c>
      <c r="BI12" s="177">
        <v>0</v>
      </c>
      <c r="BJ12" s="46">
        <f t="shared" si="4"/>
        <v>1844</v>
      </c>
      <c r="BK12" s="97">
        <f t="shared" si="5"/>
        <v>5</v>
      </c>
      <c r="BL12" s="70" t="s">
        <v>182</v>
      </c>
      <c r="BM12" s="44"/>
      <c r="BN12" s="175"/>
      <c r="BO12" s="100"/>
      <c r="BP12" s="99"/>
      <c r="BQ12" s="99"/>
      <c r="BR12" s="99"/>
      <c r="BS12" s="99"/>
      <c r="BT12" s="99">
        <v>1</v>
      </c>
      <c r="BU12" s="45"/>
      <c r="BV12" s="45"/>
      <c r="BW12" s="45"/>
      <c r="BX12" s="45"/>
      <c r="BY12" s="45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>
        <v>0</v>
      </c>
      <c r="CO12" s="177">
        <v>0</v>
      </c>
      <c r="CP12" s="99">
        <f t="shared" si="6"/>
        <v>1</v>
      </c>
      <c r="CQ12" s="177">
        <v>0</v>
      </c>
      <c r="CR12" s="99"/>
      <c r="CS12" s="99"/>
      <c r="CT12" s="99"/>
      <c r="CU12" s="99"/>
      <c r="CV12" s="45"/>
      <c r="CW12" s="45"/>
      <c r="CX12" s="45"/>
      <c r="CY12" s="45"/>
      <c r="CZ12" s="45"/>
      <c r="DA12" s="45"/>
      <c r="DB12" s="45"/>
      <c r="DC12" s="177"/>
      <c r="DD12" s="177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>
        <v>0</v>
      </c>
      <c r="DS12" s="99">
        <f t="shared" si="7"/>
        <v>0</v>
      </c>
      <c r="DT12" s="177">
        <v>0</v>
      </c>
      <c r="DU12" s="46">
        <f t="shared" si="8"/>
        <v>1</v>
      </c>
      <c r="DV12" s="97">
        <f t="shared" si="9"/>
        <v>0</v>
      </c>
    </row>
    <row r="13" spans="1:126" ht="16.5" customHeight="1" x14ac:dyDescent="0.25">
      <c r="A13" s="70" t="s">
        <v>226</v>
      </c>
      <c r="B13" s="52"/>
      <c r="C13" s="175"/>
      <c r="D13" s="100"/>
      <c r="E13" s="99"/>
      <c r="F13" s="99"/>
      <c r="G13" s="99"/>
      <c r="H13" s="99"/>
      <c r="I13" s="99"/>
      <c r="J13" s="45"/>
      <c r="K13" s="45"/>
      <c r="L13" s="45"/>
      <c r="M13" s="45"/>
      <c r="N13" s="45"/>
      <c r="O13" s="45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>
        <v>0</v>
      </c>
      <c r="AD13" s="177">
        <v>1</v>
      </c>
      <c r="AE13" s="99">
        <f t="shared" si="2"/>
        <v>1</v>
      </c>
      <c r="AF13" s="177">
        <v>0</v>
      </c>
      <c r="AG13" s="99"/>
      <c r="AH13" s="99"/>
      <c r="AI13" s="99"/>
      <c r="AJ13" s="99"/>
      <c r="AK13" s="99"/>
      <c r="AL13" s="45"/>
      <c r="AM13" s="45"/>
      <c r="AN13" s="45"/>
      <c r="AO13" s="45"/>
      <c r="AP13" s="45"/>
      <c r="AQ13" s="45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00">
        <f t="shared" si="3"/>
        <v>0</v>
      </c>
      <c r="BI13" s="177">
        <v>0</v>
      </c>
      <c r="BJ13" s="46">
        <f t="shared" si="4"/>
        <v>1</v>
      </c>
      <c r="BK13" s="97">
        <f t="shared" si="5"/>
        <v>0</v>
      </c>
      <c r="BL13" s="70" t="s">
        <v>122</v>
      </c>
      <c r="BM13" s="44"/>
      <c r="BN13" s="175"/>
      <c r="BO13" s="100">
        <v>2</v>
      </c>
      <c r="BP13" s="99"/>
      <c r="BQ13" s="99"/>
      <c r="BR13" s="99"/>
      <c r="BS13" s="99">
        <v>44</v>
      </c>
      <c r="BT13" s="99"/>
      <c r="BU13" s="45"/>
      <c r="BV13" s="45"/>
      <c r="BW13" s="45"/>
      <c r="BX13" s="45">
        <v>3</v>
      </c>
      <c r="BY13" s="45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>
        <v>1</v>
      </c>
      <c r="CM13" s="177">
        <v>3</v>
      </c>
      <c r="CN13" s="177">
        <v>0</v>
      </c>
      <c r="CO13" s="177">
        <v>0</v>
      </c>
      <c r="CP13" s="99">
        <f t="shared" si="6"/>
        <v>53</v>
      </c>
      <c r="CQ13" s="177">
        <v>0</v>
      </c>
      <c r="CR13" s="99"/>
      <c r="CS13" s="99"/>
      <c r="CT13" s="99"/>
      <c r="CU13" s="99"/>
      <c r="CV13" s="45"/>
      <c r="CW13" s="45"/>
      <c r="CX13" s="45"/>
      <c r="CY13" s="45"/>
      <c r="CZ13" s="45"/>
      <c r="DA13" s="45"/>
      <c r="DB13" s="45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>
        <v>0</v>
      </c>
      <c r="DS13" s="99">
        <f t="shared" si="7"/>
        <v>0</v>
      </c>
      <c r="DT13" s="177">
        <v>0</v>
      </c>
      <c r="DU13" s="46">
        <f t="shared" si="8"/>
        <v>53</v>
      </c>
      <c r="DV13" s="97">
        <f t="shared" si="9"/>
        <v>0</v>
      </c>
    </row>
    <row r="14" spans="1:126" ht="16.5" customHeight="1" x14ac:dyDescent="0.25">
      <c r="A14" s="70" t="s">
        <v>129</v>
      </c>
      <c r="B14" s="52"/>
      <c r="C14" s="175"/>
      <c r="D14" s="100">
        <v>52</v>
      </c>
      <c r="E14" s="99">
        <v>4</v>
      </c>
      <c r="F14" s="99">
        <v>2</v>
      </c>
      <c r="G14" s="99">
        <v>1</v>
      </c>
      <c r="H14" s="99">
        <v>6</v>
      </c>
      <c r="I14" s="99">
        <v>6</v>
      </c>
      <c r="J14" s="45"/>
      <c r="K14" s="45"/>
      <c r="L14" s="45">
        <v>1</v>
      </c>
      <c r="M14" s="45"/>
      <c r="N14" s="45">
        <v>3</v>
      </c>
      <c r="O14" s="45">
        <v>1</v>
      </c>
      <c r="P14" s="177">
        <v>1</v>
      </c>
      <c r="Q14" s="177">
        <v>2</v>
      </c>
      <c r="R14" s="222">
        <f>3-1</f>
        <v>2</v>
      </c>
      <c r="S14" s="222">
        <f>82-2</f>
        <v>80</v>
      </c>
      <c r="T14" s="177">
        <v>1</v>
      </c>
      <c r="U14" s="177">
        <v>2</v>
      </c>
      <c r="V14" s="177">
        <v>3</v>
      </c>
      <c r="W14" s="222">
        <f>7-1</f>
        <v>6</v>
      </c>
      <c r="X14" s="177">
        <v>5</v>
      </c>
      <c r="Y14" s="177">
        <v>4</v>
      </c>
      <c r="Z14" s="177"/>
      <c r="AA14" s="237">
        <f>31+1</f>
        <v>32</v>
      </c>
      <c r="AB14" s="222">
        <f>10-1</f>
        <v>9</v>
      </c>
      <c r="AC14" s="177">
        <v>0</v>
      </c>
      <c r="AD14" s="177">
        <v>0</v>
      </c>
      <c r="AE14" s="99">
        <f t="shared" si="2"/>
        <v>223</v>
      </c>
      <c r="AF14" s="177">
        <v>5</v>
      </c>
      <c r="AG14" s="99">
        <v>2</v>
      </c>
      <c r="AH14" s="99"/>
      <c r="AI14" s="99">
        <v>-2</v>
      </c>
      <c r="AJ14" s="99"/>
      <c r="AK14" s="99"/>
      <c r="AL14" s="45"/>
      <c r="AM14" s="45"/>
      <c r="AN14" s="45"/>
      <c r="AO14" s="45"/>
      <c r="AP14" s="45"/>
      <c r="AQ14" s="45"/>
      <c r="AR14" s="177">
        <v>1</v>
      </c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237">
        <v>-1</v>
      </c>
      <c r="BE14" s="177"/>
      <c r="BF14" s="177"/>
      <c r="BG14" s="177"/>
      <c r="BH14" s="100">
        <f t="shared" si="3"/>
        <v>0</v>
      </c>
      <c r="BI14" s="177">
        <v>0</v>
      </c>
      <c r="BJ14" s="46">
        <f t="shared" ref="BJ14:BJ20" si="10">+C14+AE14+AF14</f>
        <v>228</v>
      </c>
      <c r="BK14" s="97">
        <f t="shared" ref="BK14:BK44" si="11">+BH14+BI14</f>
        <v>0</v>
      </c>
      <c r="BL14" s="70" t="s">
        <v>124</v>
      </c>
      <c r="BM14" s="44"/>
      <c r="BN14" s="175"/>
      <c r="BO14" s="100">
        <v>4</v>
      </c>
      <c r="BP14" s="99"/>
      <c r="BQ14" s="99">
        <v>1</v>
      </c>
      <c r="BR14" s="99"/>
      <c r="BS14" s="99"/>
      <c r="BT14" s="99"/>
      <c r="BU14" s="45"/>
      <c r="BV14" s="45"/>
      <c r="BW14" s="45">
        <v>2</v>
      </c>
      <c r="BX14" s="45">
        <v>1</v>
      </c>
      <c r="BY14" s="45"/>
      <c r="BZ14" s="177"/>
      <c r="CA14" s="177"/>
      <c r="CB14" s="177">
        <v>2</v>
      </c>
      <c r="CC14" s="177">
        <v>5</v>
      </c>
      <c r="CD14" s="177">
        <v>2</v>
      </c>
      <c r="CE14" s="177">
        <v>4</v>
      </c>
      <c r="CF14" s="177">
        <v>4</v>
      </c>
      <c r="CG14" s="177"/>
      <c r="CH14" s="177"/>
      <c r="CI14" s="177"/>
      <c r="CJ14" s="177"/>
      <c r="CK14" s="177"/>
      <c r="CL14" s="177"/>
      <c r="CM14" s="177"/>
      <c r="CN14" s="177">
        <v>0</v>
      </c>
      <c r="CO14" s="177">
        <v>0</v>
      </c>
      <c r="CP14" s="99">
        <f t="shared" si="6"/>
        <v>25</v>
      </c>
      <c r="CQ14" s="177">
        <v>0</v>
      </c>
      <c r="CR14" s="99">
        <v>1</v>
      </c>
      <c r="CS14" s="99"/>
      <c r="CT14" s="99">
        <v>-1</v>
      </c>
      <c r="CU14" s="99"/>
      <c r="CV14" s="45"/>
      <c r="CW14" s="45"/>
      <c r="CX14" s="45"/>
      <c r="CY14" s="45"/>
      <c r="CZ14" s="45"/>
      <c r="DA14" s="45"/>
      <c r="DB14" s="45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>
        <v>0</v>
      </c>
      <c r="DS14" s="99">
        <f t="shared" si="7"/>
        <v>0</v>
      </c>
      <c r="DT14" s="177">
        <v>0</v>
      </c>
      <c r="DU14" s="46">
        <f t="shared" si="8"/>
        <v>25</v>
      </c>
      <c r="DV14" s="97">
        <f t="shared" si="9"/>
        <v>0</v>
      </c>
    </row>
    <row r="15" spans="1:126" ht="16.5" customHeight="1" x14ac:dyDescent="0.25">
      <c r="A15" s="70" t="s">
        <v>220</v>
      </c>
      <c r="B15" s="52"/>
      <c r="C15" s="175"/>
      <c r="D15" s="100"/>
      <c r="E15" s="99"/>
      <c r="F15" s="99"/>
      <c r="G15" s="99"/>
      <c r="H15" s="99"/>
      <c r="I15" s="99"/>
      <c r="J15" s="45"/>
      <c r="K15" s="45"/>
      <c r="L15" s="45"/>
      <c r="M15" s="45"/>
      <c r="N15" s="45"/>
      <c r="O15" s="45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>
        <v>0</v>
      </c>
      <c r="AA15" s="177">
        <v>1</v>
      </c>
      <c r="AB15" s="177"/>
      <c r="AC15" s="177">
        <v>0</v>
      </c>
      <c r="AD15" s="177">
        <v>0</v>
      </c>
      <c r="AE15" s="99">
        <f t="shared" si="2"/>
        <v>1</v>
      </c>
      <c r="AF15" s="177">
        <v>0</v>
      </c>
      <c r="AG15" s="99"/>
      <c r="AH15" s="99"/>
      <c r="AI15" s="99"/>
      <c r="AJ15" s="99"/>
      <c r="AK15" s="99"/>
      <c r="AL15" s="45"/>
      <c r="AM15" s="45"/>
      <c r="AN15" s="45"/>
      <c r="AO15" s="45"/>
      <c r="AP15" s="45"/>
      <c r="AQ15" s="45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00">
        <f t="shared" si="3"/>
        <v>0</v>
      </c>
      <c r="BI15" s="177">
        <v>0</v>
      </c>
      <c r="BJ15" s="46">
        <f t="shared" si="10"/>
        <v>1</v>
      </c>
      <c r="BK15" s="97">
        <f t="shared" si="11"/>
        <v>0</v>
      </c>
      <c r="BL15" s="70" t="s">
        <v>126</v>
      </c>
      <c r="BM15" s="44"/>
      <c r="BN15" s="175"/>
      <c r="BO15" s="100">
        <v>6</v>
      </c>
      <c r="BP15" s="99"/>
      <c r="BQ15" s="99"/>
      <c r="BR15" s="99"/>
      <c r="BS15" s="99"/>
      <c r="BT15" s="99"/>
      <c r="BU15" s="45"/>
      <c r="BV15" s="45"/>
      <c r="BW15" s="45"/>
      <c r="BX15" s="45"/>
      <c r="BY15" s="45">
        <v>46</v>
      </c>
      <c r="BZ15" s="177">
        <v>23</v>
      </c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>
        <v>0</v>
      </c>
      <c r="CO15" s="177">
        <v>0</v>
      </c>
      <c r="CP15" s="99">
        <f t="shared" si="6"/>
        <v>75</v>
      </c>
      <c r="CQ15" s="177">
        <v>0</v>
      </c>
      <c r="CR15" s="99"/>
      <c r="CS15" s="99"/>
      <c r="CT15" s="99"/>
      <c r="CU15" s="99"/>
      <c r="CV15" s="45"/>
      <c r="CW15" s="45"/>
      <c r="CX15" s="45"/>
      <c r="CY15" s="45"/>
      <c r="CZ15" s="45"/>
      <c r="DA15" s="45"/>
      <c r="DB15" s="45"/>
      <c r="DC15" s="177"/>
      <c r="DD15" s="177"/>
      <c r="DE15" s="177"/>
      <c r="DF15" s="177"/>
      <c r="DG15" s="177"/>
      <c r="DH15" s="177"/>
      <c r="DI15" s="177"/>
      <c r="DJ15" s="177"/>
      <c r="DK15" s="177"/>
      <c r="DL15" s="177"/>
      <c r="DM15" s="177"/>
      <c r="DN15" s="177"/>
      <c r="DO15" s="177"/>
      <c r="DP15" s="177"/>
      <c r="DQ15" s="177"/>
      <c r="DR15" s="177">
        <v>0</v>
      </c>
      <c r="DS15" s="99">
        <f t="shared" si="7"/>
        <v>0</v>
      </c>
      <c r="DT15" s="177">
        <v>0</v>
      </c>
      <c r="DU15" s="46">
        <f t="shared" si="8"/>
        <v>75</v>
      </c>
      <c r="DV15" s="97">
        <f t="shared" si="9"/>
        <v>0</v>
      </c>
    </row>
    <row r="16" spans="1:126" ht="16.5" customHeight="1" x14ac:dyDescent="0.25">
      <c r="A16" s="70" t="s">
        <v>131</v>
      </c>
      <c r="B16" s="52"/>
      <c r="C16" s="175"/>
      <c r="D16" s="100">
        <v>1</v>
      </c>
      <c r="E16" s="99"/>
      <c r="F16" s="99"/>
      <c r="G16" s="99"/>
      <c r="H16" s="99"/>
      <c r="I16" s="99"/>
      <c r="J16" s="45"/>
      <c r="K16" s="45"/>
      <c r="L16" s="45"/>
      <c r="M16" s="45"/>
      <c r="N16" s="45"/>
      <c r="O16" s="45"/>
      <c r="P16" s="177">
        <v>3</v>
      </c>
      <c r="Q16" s="177"/>
      <c r="R16" s="177"/>
      <c r="S16" s="177"/>
      <c r="T16" s="177"/>
      <c r="U16" s="177"/>
      <c r="V16" s="177"/>
      <c r="W16" s="177"/>
      <c r="X16" s="177">
        <v>1</v>
      </c>
      <c r="Y16" s="177">
        <v>2</v>
      </c>
      <c r="Z16" s="177">
        <v>2</v>
      </c>
      <c r="AA16" s="177"/>
      <c r="AB16" s="177"/>
      <c r="AC16" s="177">
        <v>0</v>
      </c>
      <c r="AD16" s="177">
        <v>0</v>
      </c>
      <c r="AE16" s="99">
        <f t="shared" si="2"/>
        <v>9</v>
      </c>
      <c r="AF16" s="177">
        <v>0</v>
      </c>
      <c r="AG16" s="99"/>
      <c r="AH16" s="99"/>
      <c r="AI16" s="99"/>
      <c r="AJ16" s="99"/>
      <c r="AK16" s="99"/>
      <c r="AL16" s="45"/>
      <c r="AM16" s="45"/>
      <c r="AN16" s="45"/>
      <c r="AO16" s="45"/>
      <c r="AP16" s="45"/>
      <c r="AQ16" s="45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00">
        <f t="shared" si="3"/>
        <v>0</v>
      </c>
      <c r="BI16" s="177">
        <v>0</v>
      </c>
      <c r="BJ16" s="46">
        <f t="shared" si="10"/>
        <v>9</v>
      </c>
      <c r="BK16" s="97">
        <f t="shared" si="11"/>
        <v>0</v>
      </c>
      <c r="BL16" s="70" t="s">
        <v>128</v>
      </c>
      <c r="BM16" s="44"/>
      <c r="BN16" s="175"/>
      <c r="BO16" s="100">
        <v>3</v>
      </c>
      <c r="BP16" s="99">
        <v>12</v>
      </c>
      <c r="BQ16" s="99"/>
      <c r="BR16" s="99">
        <f>1-1</f>
        <v>0</v>
      </c>
      <c r="BS16" s="99"/>
      <c r="BT16" s="99"/>
      <c r="BU16" s="45"/>
      <c r="BV16" s="45"/>
      <c r="BW16" s="45"/>
      <c r="BX16" s="45"/>
      <c r="BY16" s="45"/>
      <c r="BZ16" s="177"/>
      <c r="CA16" s="177"/>
      <c r="CB16" s="177"/>
      <c r="CC16" s="177"/>
      <c r="CD16" s="177"/>
      <c r="CE16" s="177"/>
      <c r="CF16" s="177">
        <v>1</v>
      </c>
      <c r="CG16" s="177"/>
      <c r="CH16" s="177"/>
      <c r="CI16" s="177"/>
      <c r="CJ16" s="177"/>
      <c r="CK16" s="177"/>
      <c r="CL16" s="177"/>
      <c r="CM16" s="177"/>
      <c r="CN16" s="177">
        <v>0</v>
      </c>
      <c r="CO16" s="177">
        <v>0</v>
      </c>
      <c r="CP16" s="99">
        <f t="shared" si="6"/>
        <v>16</v>
      </c>
      <c r="CQ16" s="177">
        <v>1</v>
      </c>
      <c r="CR16" s="99"/>
      <c r="CS16" s="99"/>
      <c r="CT16" s="99"/>
      <c r="CU16" s="99"/>
      <c r="CV16" s="45"/>
      <c r="CW16" s="45"/>
      <c r="CX16" s="45"/>
      <c r="CY16" s="45"/>
      <c r="CZ16" s="45"/>
      <c r="DA16" s="45"/>
      <c r="DB16" s="45"/>
      <c r="DC16" s="177"/>
      <c r="DD16" s="177"/>
      <c r="DE16" s="177"/>
      <c r="DF16" s="177"/>
      <c r="DG16" s="177"/>
      <c r="DH16" s="177"/>
      <c r="DI16" s="177"/>
      <c r="DJ16" s="177"/>
      <c r="DK16" s="177"/>
      <c r="DL16" s="177"/>
      <c r="DM16" s="177"/>
      <c r="DN16" s="177"/>
      <c r="DO16" s="177"/>
      <c r="DP16" s="177"/>
      <c r="DQ16" s="177"/>
      <c r="DR16" s="177">
        <v>0</v>
      </c>
      <c r="DS16" s="99">
        <f t="shared" si="7"/>
        <v>0</v>
      </c>
      <c r="DT16" s="177">
        <v>0</v>
      </c>
      <c r="DU16" s="46">
        <f t="shared" si="8"/>
        <v>17</v>
      </c>
      <c r="DV16" s="97">
        <f t="shared" si="9"/>
        <v>0</v>
      </c>
    </row>
    <row r="17" spans="1:126" ht="16.5" customHeight="1" x14ac:dyDescent="0.25">
      <c r="A17" s="70" t="s">
        <v>169</v>
      </c>
      <c r="B17" s="44"/>
      <c r="C17" s="175"/>
      <c r="D17" s="100">
        <v>2</v>
      </c>
      <c r="E17" s="99"/>
      <c r="F17" s="99"/>
      <c r="G17" s="99">
        <v>1</v>
      </c>
      <c r="H17" s="99"/>
      <c r="I17" s="99"/>
      <c r="J17" s="45"/>
      <c r="K17" s="45"/>
      <c r="L17" s="45"/>
      <c r="M17" s="45"/>
      <c r="N17" s="45"/>
      <c r="O17" s="45"/>
      <c r="P17" s="177"/>
      <c r="Q17" s="177"/>
      <c r="R17" s="177"/>
      <c r="S17" s="177"/>
      <c r="T17" s="177"/>
      <c r="U17" s="177"/>
      <c r="V17" s="177"/>
      <c r="W17" s="177"/>
      <c r="X17" s="177"/>
      <c r="Y17" s="222">
        <f>1-1</f>
        <v>0</v>
      </c>
      <c r="Z17" s="177">
        <v>1</v>
      </c>
      <c r="AA17" s="177"/>
      <c r="AB17" s="222">
        <v>-1</v>
      </c>
      <c r="AC17" s="177">
        <v>0</v>
      </c>
      <c r="AD17" s="177">
        <v>0</v>
      </c>
      <c r="AE17" s="99">
        <f t="shared" si="2"/>
        <v>3</v>
      </c>
      <c r="AF17" s="177">
        <v>0</v>
      </c>
      <c r="AG17" s="99"/>
      <c r="AH17" s="99"/>
      <c r="AI17" s="99"/>
      <c r="AJ17" s="99"/>
      <c r="AK17" s="99"/>
      <c r="AL17" s="45"/>
      <c r="AM17" s="45"/>
      <c r="AN17" s="45"/>
      <c r="AO17" s="45"/>
      <c r="AP17" s="45"/>
      <c r="AQ17" s="45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00">
        <f t="shared" si="3"/>
        <v>0</v>
      </c>
      <c r="BI17" s="177">
        <v>0</v>
      </c>
      <c r="BJ17" s="46">
        <f t="shared" si="10"/>
        <v>3</v>
      </c>
      <c r="BK17" s="97">
        <f t="shared" si="11"/>
        <v>0</v>
      </c>
      <c r="BL17" s="70" t="s">
        <v>194</v>
      </c>
      <c r="BM17" s="52"/>
      <c r="BN17" s="175"/>
      <c r="BO17" s="100"/>
      <c r="BP17" s="99"/>
      <c r="BQ17" s="99"/>
      <c r="BR17" s="99"/>
      <c r="BS17" s="99"/>
      <c r="BT17" s="99"/>
      <c r="BU17" s="45"/>
      <c r="BV17" s="45"/>
      <c r="BW17" s="45"/>
      <c r="BX17" s="45"/>
      <c r="BY17" s="45">
        <v>1</v>
      </c>
      <c r="BZ17" s="177"/>
      <c r="CA17" s="177"/>
      <c r="CB17" s="177"/>
      <c r="CC17" s="177"/>
      <c r="CD17" s="177"/>
      <c r="CE17" s="177"/>
      <c r="CF17" s="177"/>
      <c r="CG17" s="177"/>
      <c r="CH17" s="177">
        <v>1</v>
      </c>
      <c r="CI17" s="177"/>
      <c r="CJ17" s="177"/>
      <c r="CK17" s="177"/>
      <c r="CL17" s="222">
        <v>-1</v>
      </c>
      <c r="CM17" s="177"/>
      <c r="CN17" s="177">
        <v>0</v>
      </c>
      <c r="CO17" s="177">
        <v>0</v>
      </c>
      <c r="CP17" s="99">
        <f t="shared" si="6"/>
        <v>1</v>
      </c>
      <c r="CQ17" s="177">
        <v>0</v>
      </c>
      <c r="CR17" s="99"/>
      <c r="CS17" s="99">
        <v>2</v>
      </c>
      <c r="CT17" s="99">
        <v>-2</v>
      </c>
      <c r="CU17" s="99"/>
      <c r="CV17" s="45"/>
      <c r="CW17" s="45"/>
      <c r="CX17" s="45"/>
      <c r="CY17" s="45"/>
      <c r="CZ17" s="45"/>
      <c r="DA17" s="45"/>
      <c r="DB17" s="45"/>
      <c r="DC17" s="177"/>
      <c r="DD17" s="177"/>
      <c r="DE17" s="177"/>
      <c r="DF17" s="177"/>
      <c r="DG17" s="177"/>
      <c r="DH17" s="177"/>
      <c r="DI17" s="177"/>
      <c r="DJ17" s="177"/>
      <c r="DK17" s="177"/>
      <c r="DL17" s="177"/>
      <c r="DM17" s="177"/>
      <c r="DN17" s="177"/>
      <c r="DO17" s="177"/>
      <c r="DP17" s="177"/>
      <c r="DQ17" s="177"/>
      <c r="DR17" s="177">
        <v>0</v>
      </c>
      <c r="DS17" s="99">
        <f t="shared" si="7"/>
        <v>0</v>
      </c>
      <c r="DT17" s="177">
        <v>0</v>
      </c>
      <c r="DU17" s="46">
        <f t="shared" si="8"/>
        <v>1</v>
      </c>
      <c r="DV17" s="97">
        <f t="shared" si="9"/>
        <v>0</v>
      </c>
    </row>
    <row r="18" spans="1:126" ht="16.5" customHeight="1" x14ac:dyDescent="0.25">
      <c r="A18" s="70" t="s">
        <v>133</v>
      </c>
      <c r="B18" s="52"/>
      <c r="C18" s="175"/>
      <c r="D18" s="100">
        <v>8</v>
      </c>
      <c r="E18" s="99"/>
      <c r="F18" s="99"/>
      <c r="G18" s="99"/>
      <c r="H18" s="99"/>
      <c r="I18" s="99">
        <v>1</v>
      </c>
      <c r="J18" s="45"/>
      <c r="K18" s="45">
        <v>3</v>
      </c>
      <c r="L18" s="45"/>
      <c r="M18" s="45"/>
      <c r="N18" s="45"/>
      <c r="O18" s="45">
        <v>-1</v>
      </c>
      <c r="P18" s="177"/>
      <c r="Q18" s="177"/>
      <c r="R18" s="177"/>
      <c r="S18" s="177"/>
      <c r="T18" s="177"/>
      <c r="U18" s="177"/>
      <c r="V18" s="177">
        <v>3</v>
      </c>
      <c r="W18" s="177">
        <v>1</v>
      </c>
      <c r="X18" s="177">
        <v>1</v>
      </c>
      <c r="Y18" s="177">
        <v>9</v>
      </c>
      <c r="Z18" s="177">
        <v>1</v>
      </c>
      <c r="AA18" s="177">
        <v>3</v>
      </c>
      <c r="AB18" s="177"/>
      <c r="AC18" s="177">
        <v>5</v>
      </c>
      <c r="AD18" s="222">
        <f>0-1</f>
        <v>-1</v>
      </c>
      <c r="AE18" s="99">
        <f t="shared" si="2"/>
        <v>33</v>
      </c>
      <c r="AF18" s="177">
        <v>13</v>
      </c>
      <c r="AG18" s="99"/>
      <c r="AH18" s="99"/>
      <c r="AI18" s="99"/>
      <c r="AJ18" s="99"/>
      <c r="AK18" s="99"/>
      <c r="AL18" s="45"/>
      <c r="AM18" s="45"/>
      <c r="AN18" s="45"/>
      <c r="AO18" s="45"/>
      <c r="AP18" s="45"/>
      <c r="AQ18" s="45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00">
        <f t="shared" si="3"/>
        <v>0</v>
      </c>
      <c r="BI18" s="177">
        <v>0</v>
      </c>
      <c r="BJ18" s="46">
        <f t="shared" si="10"/>
        <v>46</v>
      </c>
      <c r="BK18" s="97">
        <f t="shared" si="11"/>
        <v>0</v>
      </c>
      <c r="BL18" s="70" t="s">
        <v>180</v>
      </c>
      <c r="BM18" s="44"/>
      <c r="BN18" s="175"/>
      <c r="BO18" s="100"/>
      <c r="BP18" s="99"/>
      <c r="BQ18" s="99"/>
      <c r="BR18" s="99"/>
      <c r="BS18" s="99">
        <v>1</v>
      </c>
      <c r="BT18" s="99"/>
      <c r="BU18" s="45"/>
      <c r="BV18" s="45"/>
      <c r="BW18" s="45"/>
      <c r="BX18" s="45"/>
      <c r="BY18" s="45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>
        <v>0</v>
      </c>
      <c r="CO18" s="177">
        <v>0</v>
      </c>
      <c r="CP18" s="99">
        <f t="shared" si="6"/>
        <v>1</v>
      </c>
      <c r="CQ18" s="177">
        <v>0</v>
      </c>
      <c r="CR18" s="99"/>
      <c r="CS18" s="99"/>
      <c r="CT18" s="99"/>
      <c r="CU18" s="99"/>
      <c r="CV18" s="45"/>
      <c r="CW18" s="45"/>
      <c r="CX18" s="45"/>
      <c r="CY18" s="45"/>
      <c r="CZ18" s="45"/>
      <c r="DA18" s="45"/>
      <c r="DB18" s="45"/>
      <c r="DC18" s="177"/>
      <c r="DD18" s="177"/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>
        <v>0</v>
      </c>
      <c r="DS18" s="99">
        <f t="shared" si="7"/>
        <v>0</v>
      </c>
      <c r="DT18" s="177">
        <v>0</v>
      </c>
      <c r="DU18" s="46">
        <f t="shared" si="8"/>
        <v>1</v>
      </c>
      <c r="DV18" s="97">
        <f t="shared" si="9"/>
        <v>0</v>
      </c>
    </row>
    <row r="19" spans="1:126" ht="16.5" customHeight="1" x14ac:dyDescent="0.25">
      <c r="A19" s="70" t="s">
        <v>135</v>
      </c>
      <c r="B19" s="52"/>
      <c r="C19" s="175"/>
      <c r="D19" s="100">
        <v>1</v>
      </c>
      <c r="E19" s="99"/>
      <c r="F19" s="99"/>
      <c r="G19" s="99">
        <v>1</v>
      </c>
      <c r="H19" s="99"/>
      <c r="I19" s="99"/>
      <c r="J19" s="45"/>
      <c r="K19" s="45"/>
      <c r="L19" s="45"/>
      <c r="M19" s="45"/>
      <c r="N19" s="45"/>
      <c r="O19" s="45"/>
      <c r="P19" s="177"/>
      <c r="Q19" s="177"/>
      <c r="R19" s="177"/>
      <c r="S19" s="177"/>
      <c r="T19" s="177"/>
      <c r="U19" s="177"/>
      <c r="V19" s="177">
        <v>1</v>
      </c>
      <c r="W19" s="177"/>
      <c r="X19" s="177"/>
      <c r="Y19" s="177"/>
      <c r="Z19" s="177"/>
      <c r="AA19" s="177"/>
      <c r="AB19" s="177"/>
      <c r="AC19" s="177">
        <v>0</v>
      </c>
      <c r="AD19" s="177">
        <v>0</v>
      </c>
      <c r="AE19" s="99">
        <f t="shared" si="2"/>
        <v>3</v>
      </c>
      <c r="AF19" s="177">
        <v>0</v>
      </c>
      <c r="AG19" s="99"/>
      <c r="AH19" s="99"/>
      <c r="AI19" s="99"/>
      <c r="AJ19" s="99"/>
      <c r="AK19" s="99"/>
      <c r="AL19" s="45"/>
      <c r="AM19" s="45"/>
      <c r="AN19" s="45"/>
      <c r="AO19" s="45"/>
      <c r="AP19" s="45"/>
      <c r="AQ19" s="45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00">
        <f t="shared" si="3"/>
        <v>0</v>
      </c>
      <c r="BI19" s="177">
        <v>0</v>
      </c>
      <c r="BJ19" s="46">
        <f t="shared" si="10"/>
        <v>3</v>
      </c>
      <c r="BK19" s="97">
        <f t="shared" si="11"/>
        <v>0</v>
      </c>
      <c r="BL19" s="70" t="s">
        <v>130</v>
      </c>
      <c r="BM19" s="44"/>
      <c r="BN19" s="175"/>
      <c r="BO19" s="100">
        <v>2</v>
      </c>
      <c r="BP19" s="99"/>
      <c r="BQ19" s="99"/>
      <c r="BR19" s="99"/>
      <c r="BS19" s="99"/>
      <c r="BT19" s="99">
        <v>2</v>
      </c>
      <c r="BU19" s="45"/>
      <c r="BV19" s="45">
        <v>1</v>
      </c>
      <c r="BW19" s="45"/>
      <c r="BX19" s="45">
        <v>2</v>
      </c>
      <c r="BY19" s="45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>
        <v>1</v>
      </c>
      <c r="CN19" s="177">
        <v>0</v>
      </c>
      <c r="CO19" s="177">
        <v>0</v>
      </c>
      <c r="CP19" s="99">
        <f t="shared" si="6"/>
        <v>8</v>
      </c>
      <c r="CQ19" s="177">
        <v>0</v>
      </c>
      <c r="CR19" s="99"/>
      <c r="CS19" s="99"/>
      <c r="CT19" s="99"/>
      <c r="CU19" s="99"/>
      <c r="CV19" s="45"/>
      <c r="CW19" s="45"/>
      <c r="CX19" s="45"/>
      <c r="CY19" s="45"/>
      <c r="CZ19" s="45"/>
      <c r="DA19" s="45"/>
      <c r="DB19" s="45"/>
      <c r="DC19" s="177"/>
      <c r="DD19" s="177"/>
      <c r="DE19" s="177"/>
      <c r="DF19" s="177"/>
      <c r="DG19" s="177"/>
      <c r="DH19" s="177"/>
      <c r="DI19" s="177"/>
      <c r="DJ19" s="177"/>
      <c r="DK19" s="177"/>
      <c r="DL19" s="177"/>
      <c r="DM19" s="177"/>
      <c r="DN19" s="177"/>
      <c r="DO19" s="177"/>
      <c r="DP19" s="177"/>
      <c r="DQ19" s="177"/>
      <c r="DR19" s="177">
        <v>0</v>
      </c>
      <c r="DS19" s="99">
        <f t="shared" si="7"/>
        <v>0</v>
      </c>
      <c r="DT19" s="177">
        <v>0</v>
      </c>
      <c r="DU19" s="46">
        <f t="shared" si="8"/>
        <v>8</v>
      </c>
      <c r="DV19" s="97">
        <f t="shared" si="9"/>
        <v>0</v>
      </c>
    </row>
    <row r="20" spans="1:126" ht="16.5" customHeight="1" x14ac:dyDescent="0.25">
      <c r="A20" s="70" t="s">
        <v>137</v>
      </c>
      <c r="B20" s="52"/>
      <c r="C20" s="175"/>
      <c r="D20" s="100">
        <v>16</v>
      </c>
      <c r="E20" s="99">
        <v>1</v>
      </c>
      <c r="F20" s="99"/>
      <c r="G20" s="99"/>
      <c r="H20" s="99"/>
      <c r="I20" s="99"/>
      <c r="J20" s="45"/>
      <c r="K20" s="45"/>
      <c r="L20" s="45"/>
      <c r="M20" s="45"/>
      <c r="N20" s="45">
        <v>14</v>
      </c>
      <c r="O20" s="45">
        <v>1</v>
      </c>
      <c r="P20" s="177"/>
      <c r="Q20" s="177">
        <v>1</v>
      </c>
      <c r="R20" s="177">
        <v>5</v>
      </c>
      <c r="S20" s="177"/>
      <c r="T20" s="177">
        <v>1</v>
      </c>
      <c r="U20" s="177">
        <v>2</v>
      </c>
      <c r="V20" s="177">
        <v>5</v>
      </c>
      <c r="W20" s="177"/>
      <c r="X20" s="177">
        <v>2</v>
      </c>
      <c r="Y20" s="177">
        <v>1</v>
      </c>
      <c r="Z20" s="222">
        <f>5-5</f>
        <v>0</v>
      </c>
      <c r="AA20" s="222">
        <f>2-2</f>
        <v>0</v>
      </c>
      <c r="AB20" s="177">
        <v>25</v>
      </c>
      <c r="AC20" s="222">
        <f>1-1</f>
        <v>0</v>
      </c>
      <c r="AD20" s="177">
        <v>0</v>
      </c>
      <c r="AE20" s="99">
        <f t="shared" si="2"/>
        <v>74</v>
      </c>
      <c r="AF20" s="177">
        <v>0</v>
      </c>
      <c r="AG20" s="99"/>
      <c r="AH20" s="99"/>
      <c r="AI20" s="99"/>
      <c r="AJ20" s="99"/>
      <c r="AK20" s="99"/>
      <c r="AL20" s="45"/>
      <c r="AM20" s="45"/>
      <c r="AN20" s="45"/>
      <c r="AO20" s="45"/>
      <c r="AP20" s="45"/>
      <c r="AQ20" s="45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00">
        <f t="shared" si="3"/>
        <v>0</v>
      </c>
      <c r="BI20" s="177">
        <v>0</v>
      </c>
      <c r="BJ20" s="46">
        <f t="shared" si="10"/>
        <v>74</v>
      </c>
      <c r="BK20" s="97">
        <f t="shared" si="11"/>
        <v>0</v>
      </c>
      <c r="BL20" s="70" t="s">
        <v>132</v>
      </c>
      <c r="BM20" s="52"/>
      <c r="BN20" s="175"/>
      <c r="BO20" s="100">
        <v>1</v>
      </c>
      <c r="BP20" s="99"/>
      <c r="BQ20" s="99"/>
      <c r="BR20" s="99"/>
      <c r="BS20" s="99"/>
      <c r="BT20" s="99"/>
      <c r="BU20" s="45"/>
      <c r="BV20" s="45"/>
      <c r="BW20" s="45"/>
      <c r="BX20" s="45"/>
      <c r="BY20" s="45"/>
      <c r="BZ20" s="177">
        <v>1</v>
      </c>
      <c r="CA20" s="177">
        <v>1</v>
      </c>
      <c r="CB20" s="177"/>
      <c r="CC20" s="177"/>
      <c r="CD20" s="177"/>
      <c r="CE20" s="177"/>
      <c r="CF20" s="177">
        <v>1</v>
      </c>
      <c r="CG20" s="177"/>
      <c r="CH20" s="177">
        <v>3</v>
      </c>
      <c r="CI20" s="177"/>
      <c r="CJ20" s="177">
        <v>4</v>
      </c>
      <c r="CK20" s="177"/>
      <c r="CL20" s="222">
        <v>-1</v>
      </c>
      <c r="CM20" s="177"/>
      <c r="CN20" s="177">
        <v>0</v>
      </c>
      <c r="CO20" s="177">
        <v>2</v>
      </c>
      <c r="CP20" s="99">
        <f t="shared" si="6"/>
        <v>12</v>
      </c>
      <c r="CQ20" s="177">
        <v>0</v>
      </c>
      <c r="CR20" s="99"/>
      <c r="CS20" s="99"/>
      <c r="CT20" s="99"/>
      <c r="CU20" s="99"/>
      <c r="CV20" s="45"/>
      <c r="CW20" s="45"/>
      <c r="CX20" s="45"/>
      <c r="CY20" s="45"/>
      <c r="CZ20" s="45"/>
      <c r="DA20" s="45"/>
      <c r="DB20" s="45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7"/>
      <c r="DR20" s="177">
        <v>0</v>
      </c>
      <c r="DS20" s="99">
        <f t="shared" si="7"/>
        <v>0</v>
      </c>
      <c r="DT20" s="177">
        <v>0</v>
      </c>
      <c r="DU20" s="46">
        <f t="shared" si="8"/>
        <v>12</v>
      </c>
      <c r="DV20" s="97">
        <f t="shared" si="9"/>
        <v>0</v>
      </c>
    </row>
    <row r="21" spans="1:126" ht="16.5" customHeight="1" x14ac:dyDescent="0.25">
      <c r="A21" s="180" t="s">
        <v>203</v>
      </c>
      <c r="B21" s="52"/>
      <c r="C21" s="175"/>
      <c r="D21" s="100"/>
      <c r="E21" s="99"/>
      <c r="F21" s="99"/>
      <c r="G21" s="99"/>
      <c r="H21" s="99"/>
      <c r="I21" s="99"/>
      <c r="J21" s="45"/>
      <c r="K21" s="45"/>
      <c r="L21" s="45"/>
      <c r="M21" s="45"/>
      <c r="N21" s="45"/>
      <c r="O21" s="45"/>
      <c r="P21" s="177">
        <v>1</v>
      </c>
      <c r="Q21" s="177"/>
      <c r="R21" s="177"/>
      <c r="S21" s="177"/>
      <c r="T21" s="177"/>
      <c r="U21" s="177">
        <v>1</v>
      </c>
      <c r="V21" s="177"/>
      <c r="W21" s="177"/>
      <c r="X21" s="177"/>
      <c r="Y21" s="177"/>
      <c r="Z21" s="177"/>
      <c r="AA21" s="177"/>
      <c r="AB21" s="177"/>
      <c r="AC21" s="177">
        <v>0</v>
      </c>
      <c r="AD21" s="177">
        <v>0</v>
      </c>
      <c r="AE21" s="99">
        <f t="shared" si="2"/>
        <v>2</v>
      </c>
      <c r="AF21" s="177">
        <v>7</v>
      </c>
      <c r="AG21" s="99"/>
      <c r="AH21" s="99"/>
      <c r="AI21" s="99"/>
      <c r="AJ21" s="99"/>
      <c r="AK21" s="99"/>
      <c r="AL21" s="99"/>
      <c r="AM21" s="99"/>
      <c r="AN21" s="99"/>
      <c r="AO21" s="99"/>
      <c r="AP21" s="45"/>
      <c r="AQ21" s="45"/>
      <c r="AR21" s="45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00">
        <f t="shared" si="3"/>
        <v>0</v>
      </c>
      <c r="BI21" s="177">
        <v>0</v>
      </c>
      <c r="BJ21" s="46">
        <f>IF($A21="","",C21+AE21+AF21)</f>
        <v>9</v>
      </c>
      <c r="BK21" s="97">
        <f t="shared" si="11"/>
        <v>0</v>
      </c>
      <c r="BL21" s="70" t="s">
        <v>134</v>
      </c>
      <c r="BM21" s="44"/>
      <c r="BN21" s="175"/>
      <c r="BO21" s="100">
        <v>14</v>
      </c>
      <c r="BP21" s="99"/>
      <c r="BQ21" s="99"/>
      <c r="BR21" s="99"/>
      <c r="BS21" s="99">
        <v>13</v>
      </c>
      <c r="BT21" s="99">
        <v>8</v>
      </c>
      <c r="BU21" s="45">
        <v>1</v>
      </c>
      <c r="BV21" s="45"/>
      <c r="BW21" s="45">
        <v>12</v>
      </c>
      <c r="BX21" s="45">
        <v>1</v>
      </c>
      <c r="BY21" s="45">
        <v>29</v>
      </c>
      <c r="BZ21" s="177">
        <v>4</v>
      </c>
      <c r="CA21" s="177"/>
      <c r="CB21" s="177">
        <v>2</v>
      </c>
      <c r="CC21" s="177">
        <v>1</v>
      </c>
      <c r="CD21" s="177"/>
      <c r="CE21" s="177"/>
      <c r="CF21" s="177"/>
      <c r="CG21" s="177">
        <v>1</v>
      </c>
      <c r="CH21" s="177"/>
      <c r="CI21" s="177"/>
      <c r="CJ21" s="177"/>
      <c r="CK21" s="177"/>
      <c r="CL21" s="177">
        <v>150</v>
      </c>
      <c r="CM21" s="177">
        <v>4</v>
      </c>
      <c r="CN21" s="177">
        <v>0</v>
      </c>
      <c r="CO21" s="177">
        <v>0</v>
      </c>
      <c r="CP21" s="99">
        <f t="shared" si="6"/>
        <v>240</v>
      </c>
      <c r="CQ21" s="177">
        <v>1</v>
      </c>
      <c r="CR21" s="99"/>
      <c r="CS21" s="99"/>
      <c r="CT21" s="99"/>
      <c r="CU21" s="99"/>
      <c r="CV21" s="45"/>
      <c r="CW21" s="45"/>
      <c r="CX21" s="45"/>
      <c r="CY21" s="45"/>
      <c r="CZ21" s="45"/>
      <c r="DA21" s="45"/>
      <c r="DB21" s="45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7"/>
      <c r="DR21" s="177">
        <v>0</v>
      </c>
      <c r="DS21" s="99">
        <f t="shared" si="7"/>
        <v>0</v>
      </c>
      <c r="DT21" s="177">
        <v>0</v>
      </c>
      <c r="DU21" s="46">
        <f t="shared" si="8"/>
        <v>241</v>
      </c>
      <c r="DV21" s="97">
        <f t="shared" si="9"/>
        <v>0</v>
      </c>
    </row>
    <row r="22" spans="1:126" ht="16.5" customHeight="1" x14ac:dyDescent="0.25">
      <c r="A22" s="70" t="s">
        <v>139</v>
      </c>
      <c r="B22" s="52"/>
      <c r="C22" s="175"/>
      <c r="D22" s="99">
        <v>4</v>
      </c>
      <c r="E22" s="115"/>
      <c r="F22" s="115"/>
      <c r="G22" s="115"/>
      <c r="H22" s="115"/>
      <c r="I22" s="99"/>
      <c r="J22" s="100"/>
      <c r="K22" s="100"/>
      <c r="L22" s="100"/>
      <c r="M22" s="45">
        <v>1</v>
      </c>
      <c r="N22" s="45"/>
      <c r="O22" s="45"/>
      <c r="P22" s="177"/>
      <c r="Q22" s="177">
        <v>1</v>
      </c>
      <c r="R22" s="177"/>
      <c r="S22" s="177"/>
      <c r="T22" s="177"/>
      <c r="U22" s="177"/>
      <c r="V22" s="177"/>
      <c r="W22" s="177"/>
      <c r="X22" s="177">
        <v>6</v>
      </c>
      <c r="Y22" s="177"/>
      <c r="Z22" s="177"/>
      <c r="AA22" s="177">
        <v>2</v>
      </c>
      <c r="AB22" s="177">
        <v>7</v>
      </c>
      <c r="AC22" s="177">
        <v>0</v>
      </c>
      <c r="AD22" s="177">
        <v>0</v>
      </c>
      <c r="AE22" s="99">
        <f t="shared" si="2"/>
        <v>21</v>
      </c>
      <c r="AF22" s="177">
        <v>2</v>
      </c>
      <c r="AG22" s="99"/>
      <c r="AH22" s="99"/>
      <c r="AI22" s="99"/>
      <c r="AJ22" s="99"/>
      <c r="AK22" s="99"/>
      <c r="AL22" s="99"/>
      <c r="AM22" s="99"/>
      <c r="AN22" s="99"/>
      <c r="AO22" s="99"/>
      <c r="AP22" s="45"/>
      <c r="AQ22" s="45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00">
        <f t="shared" si="3"/>
        <v>0</v>
      </c>
      <c r="BI22" s="177">
        <v>0</v>
      </c>
      <c r="BJ22" s="46">
        <f t="shared" ref="BJ22" si="12">+C22+AE22+AF22</f>
        <v>23</v>
      </c>
      <c r="BK22" s="97">
        <f t="shared" si="11"/>
        <v>0</v>
      </c>
      <c r="BL22" s="70" t="s">
        <v>183</v>
      </c>
      <c r="BM22" s="44"/>
      <c r="BN22" s="175"/>
      <c r="BO22" s="100"/>
      <c r="BP22" s="99"/>
      <c r="BQ22" s="99"/>
      <c r="BR22" s="99"/>
      <c r="BS22" s="99"/>
      <c r="BT22" s="99"/>
      <c r="BU22" s="45">
        <v>1</v>
      </c>
      <c r="BV22" s="45"/>
      <c r="BW22" s="45">
        <v>2</v>
      </c>
      <c r="BX22" s="45"/>
      <c r="BY22" s="45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>
        <v>0</v>
      </c>
      <c r="CO22" s="177">
        <v>0</v>
      </c>
      <c r="CP22" s="99">
        <f t="shared" si="6"/>
        <v>3</v>
      </c>
      <c r="CQ22" s="177">
        <v>0</v>
      </c>
      <c r="CR22" s="99"/>
      <c r="CS22" s="99"/>
      <c r="CT22" s="99"/>
      <c r="CU22" s="99"/>
      <c r="CV22" s="45"/>
      <c r="CW22" s="45"/>
      <c r="CX22" s="45"/>
      <c r="CY22" s="45"/>
      <c r="CZ22" s="45"/>
      <c r="DA22" s="45"/>
      <c r="DB22" s="45"/>
      <c r="DC22" s="177"/>
      <c r="DD22" s="177"/>
      <c r="DE22" s="177"/>
      <c r="DF22" s="177"/>
      <c r="DG22" s="177"/>
      <c r="DH22" s="177"/>
      <c r="DI22" s="177"/>
      <c r="DJ22" s="177"/>
      <c r="DK22" s="177"/>
      <c r="DL22" s="177"/>
      <c r="DM22" s="177"/>
      <c r="DN22" s="177"/>
      <c r="DO22" s="177"/>
      <c r="DP22" s="177"/>
      <c r="DQ22" s="177"/>
      <c r="DR22" s="177">
        <v>0</v>
      </c>
      <c r="DS22" s="99">
        <f t="shared" si="7"/>
        <v>0</v>
      </c>
      <c r="DT22" s="177">
        <v>0</v>
      </c>
      <c r="DU22" s="46">
        <f t="shared" si="8"/>
        <v>3</v>
      </c>
      <c r="DV22" s="97">
        <f t="shared" si="9"/>
        <v>0</v>
      </c>
    </row>
    <row r="23" spans="1:126" ht="16.5" customHeight="1" x14ac:dyDescent="0.25">
      <c r="A23" s="180" t="s">
        <v>210</v>
      </c>
      <c r="B23" s="52"/>
      <c r="C23" s="175"/>
      <c r="D23" s="99"/>
      <c r="E23" s="115"/>
      <c r="F23" s="115"/>
      <c r="G23" s="115"/>
      <c r="H23" s="115"/>
      <c r="I23" s="99"/>
      <c r="J23" s="100"/>
      <c r="K23" s="100"/>
      <c r="L23" s="100"/>
      <c r="M23" s="45"/>
      <c r="N23" s="45"/>
      <c r="O23" s="45"/>
      <c r="P23" s="177"/>
      <c r="Q23" s="177"/>
      <c r="R23" s="177"/>
      <c r="S23" s="177">
        <v>1</v>
      </c>
      <c r="T23" s="177"/>
      <c r="U23" s="177"/>
      <c r="V23" s="177"/>
      <c r="W23" s="177"/>
      <c r="X23" s="177"/>
      <c r="Y23" s="177"/>
      <c r="Z23" s="177"/>
      <c r="AA23" s="177"/>
      <c r="AB23" s="177"/>
      <c r="AC23" s="177">
        <v>0</v>
      </c>
      <c r="AD23" s="177">
        <v>0</v>
      </c>
      <c r="AE23" s="99">
        <f t="shared" si="2"/>
        <v>1</v>
      </c>
      <c r="AF23" s="177">
        <v>0</v>
      </c>
      <c r="AG23" s="99"/>
      <c r="AH23" s="99"/>
      <c r="AI23" s="99"/>
      <c r="AJ23" s="99"/>
      <c r="AK23" s="99"/>
      <c r="AL23" s="99"/>
      <c r="AM23" s="99"/>
      <c r="AN23" s="99"/>
      <c r="AO23" s="99"/>
      <c r="AP23" s="45"/>
      <c r="AQ23" s="45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00">
        <f t="shared" si="3"/>
        <v>0</v>
      </c>
      <c r="BI23" s="177">
        <v>0</v>
      </c>
      <c r="BJ23" s="46">
        <f>+C23+AE23+AF23</f>
        <v>1</v>
      </c>
      <c r="BK23" s="97">
        <f t="shared" si="11"/>
        <v>0</v>
      </c>
      <c r="BL23" s="70" t="s">
        <v>136</v>
      </c>
      <c r="BM23" s="52"/>
      <c r="BN23" s="175"/>
      <c r="BO23" s="100">
        <v>16</v>
      </c>
      <c r="BP23" s="99"/>
      <c r="BQ23" s="99">
        <v>1</v>
      </c>
      <c r="BR23" s="99"/>
      <c r="BS23" s="99"/>
      <c r="BT23" s="99"/>
      <c r="BU23" s="45"/>
      <c r="BV23" s="45"/>
      <c r="BW23" s="45">
        <v>5</v>
      </c>
      <c r="BX23" s="45">
        <v>1</v>
      </c>
      <c r="BY23" s="45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>
        <v>1</v>
      </c>
      <c r="CJ23" s="177"/>
      <c r="CK23" s="177"/>
      <c r="CL23" s="177"/>
      <c r="CM23" s="177">
        <v>241</v>
      </c>
      <c r="CN23" s="177">
        <v>0</v>
      </c>
      <c r="CO23" s="177">
        <v>0</v>
      </c>
      <c r="CP23" s="99">
        <f t="shared" si="6"/>
        <v>265</v>
      </c>
      <c r="CQ23" s="177">
        <v>2</v>
      </c>
      <c r="CR23" s="99">
        <v>1</v>
      </c>
      <c r="CS23" s="99"/>
      <c r="CT23" s="99">
        <v>-1</v>
      </c>
      <c r="CU23" s="99"/>
      <c r="CV23" s="45"/>
      <c r="CW23" s="45"/>
      <c r="CX23" s="45"/>
      <c r="CY23" s="45"/>
      <c r="CZ23" s="45"/>
      <c r="DA23" s="45"/>
      <c r="DB23" s="45"/>
      <c r="DC23" s="177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7"/>
      <c r="DQ23" s="177"/>
      <c r="DR23" s="177">
        <v>0</v>
      </c>
      <c r="DS23" s="99">
        <f t="shared" si="7"/>
        <v>0</v>
      </c>
      <c r="DT23" s="177">
        <v>0</v>
      </c>
      <c r="DU23" s="46">
        <f>+BN23+CP23+CQ23</f>
        <v>267</v>
      </c>
      <c r="DV23" s="97">
        <f>+DS23+DT23</f>
        <v>0</v>
      </c>
    </row>
    <row r="24" spans="1:126" ht="16.5" customHeight="1" x14ac:dyDescent="0.25">
      <c r="A24" s="70" t="s">
        <v>188</v>
      </c>
      <c r="B24" s="52"/>
      <c r="C24" s="175"/>
      <c r="D24" s="100"/>
      <c r="E24" s="99"/>
      <c r="F24" s="99"/>
      <c r="G24" s="99"/>
      <c r="H24" s="99"/>
      <c r="I24" s="99"/>
      <c r="J24" s="45"/>
      <c r="K24" s="45"/>
      <c r="L24" s="45"/>
      <c r="M24" s="45">
        <v>1</v>
      </c>
      <c r="N24" s="45"/>
      <c r="O24" s="45"/>
      <c r="P24" s="177"/>
      <c r="Q24" s="177"/>
      <c r="R24" s="177"/>
      <c r="S24" s="177"/>
      <c r="T24" s="177"/>
      <c r="U24" s="177"/>
      <c r="V24" s="177">
        <v>2</v>
      </c>
      <c r="W24" s="177"/>
      <c r="X24" s="177"/>
      <c r="Y24" s="177"/>
      <c r="Z24" s="177"/>
      <c r="AA24" s="177"/>
      <c r="AB24" s="177"/>
      <c r="AC24" s="177">
        <v>0</v>
      </c>
      <c r="AD24" s="177">
        <v>0</v>
      </c>
      <c r="AE24" s="99">
        <f t="shared" si="2"/>
        <v>3</v>
      </c>
      <c r="AF24" s="177">
        <v>0</v>
      </c>
      <c r="AG24" s="99"/>
      <c r="AH24" s="99"/>
      <c r="AI24" s="99"/>
      <c r="AJ24" s="99"/>
      <c r="AK24" s="99"/>
      <c r="AL24" s="45"/>
      <c r="AM24" s="45"/>
      <c r="AN24" s="45"/>
      <c r="AO24" s="45"/>
      <c r="AP24" s="45"/>
      <c r="AQ24" s="45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00">
        <f t="shared" si="3"/>
        <v>0</v>
      </c>
      <c r="BI24" s="177">
        <v>0</v>
      </c>
      <c r="BJ24" s="46">
        <f t="shared" ref="BJ24:BJ26" si="13">+C24+AE24+AF24</f>
        <v>3</v>
      </c>
      <c r="BK24" s="97">
        <f t="shared" si="11"/>
        <v>0</v>
      </c>
      <c r="BL24" s="70" t="s">
        <v>138</v>
      </c>
      <c r="BM24" s="52"/>
      <c r="BN24" s="175"/>
      <c r="BO24" s="100">
        <v>9</v>
      </c>
      <c r="BP24" s="99"/>
      <c r="BQ24" s="99"/>
      <c r="BR24" s="99">
        <v>1</v>
      </c>
      <c r="BS24" s="99"/>
      <c r="BT24" s="99">
        <v>51</v>
      </c>
      <c r="BU24" s="45"/>
      <c r="BV24" s="45">
        <v>2</v>
      </c>
      <c r="BW24" s="45"/>
      <c r="BX24" s="45">
        <v>4</v>
      </c>
      <c r="BY24" s="45"/>
      <c r="BZ24" s="177">
        <v>7</v>
      </c>
      <c r="CA24" s="177">
        <v>1</v>
      </c>
      <c r="CB24" s="177"/>
      <c r="CC24" s="177">
        <v>4</v>
      </c>
      <c r="CD24" s="177">
        <v>4</v>
      </c>
      <c r="CE24" s="177">
        <v>1</v>
      </c>
      <c r="CF24" s="177"/>
      <c r="CG24" s="177">
        <v>2</v>
      </c>
      <c r="CH24" s="177">
        <v>148</v>
      </c>
      <c r="CI24" s="222">
        <f>1-2</f>
        <v>-1</v>
      </c>
      <c r="CJ24" s="177">
        <v>85</v>
      </c>
      <c r="CK24" s="177">
        <v>4</v>
      </c>
      <c r="CL24" s="177">
        <v>1</v>
      </c>
      <c r="CM24" s="177">
        <v>5</v>
      </c>
      <c r="CN24" s="177">
        <v>0</v>
      </c>
      <c r="CO24" s="177">
        <v>1</v>
      </c>
      <c r="CP24" s="99">
        <f t="shared" si="6"/>
        <v>329</v>
      </c>
      <c r="CQ24" s="177">
        <v>4</v>
      </c>
      <c r="CR24" s="99"/>
      <c r="CS24" s="99"/>
      <c r="CT24" s="99"/>
      <c r="CU24" s="99"/>
      <c r="CV24" s="45"/>
      <c r="CW24" s="45"/>
      <c r="CX24" s="45"/>
      <c r="CY24" s="45"/>
      <c r="CZ24" s="45"/>
      <c r="DA24" s="45"/>
      <c r="DB24" s="45"/>
      <c r="DC24" s="177"/>
      <c r="DD24" s="177"/>
      <c r="DE24" s="177"/>
      <c r="DF24" s="177"/>
      <c r="DG24" s="177"/>
      <c r="DH24" s="177"/>
      <c r="DI24" s="177"/>
      <c r="DJ24" s="177"/>
      <c r="DK24" s="177"/>
      <c r="DL24" s="177"/>
      <c r="DM24" s="177">
        <v>1</v>
      </c>
      <c r="DN24" s="177"/>
      <c r="DO24" s="177"/>
      <c r="DP24" s="177"/>
      <c r="DQ24" s="177"/>
      <c r="DR24" s="177">
        <v>0</v>
      </c>
      <c r="DS24" s="99">
        <f t="shared" si="7"/>
        <v>1</v>
      </c>
      <c r="DT24" s="177">
        <v>0</v>
      </c>
      <c r="DU24" s="46">
        <f>+BN24+CP24+CQ24</f>
        <v>333</v>
      </c>
      <c r="DV24" s="97">
        <f>+DS24+DT24</f>
        <v>1</v>
      </c>
    </row>
    <row r="25" spans="1:126" ht="16.5" customHeight="1" x14ac:dyDescent="0.25">
      <c r="A25" s="70" t="s">
        <v>212</v>
      </c>
      <c r="B25" s="52"/>
      <c r="C25" s="175"/>
      <c r="D25" s="100"/>
      <c r="E25" s="99"/>
      <c r="F25" s="99"/>
      <c r="G25" s="99"/>
      <c r="H25" s="99"/>
      <c r="I25" s="99"/>
      <c r="J25" s="45"/>
      <c r="K25" s="45"/>
      <c r="L25" s="45"/>
      <c r="M25" s="45"/>
      <c r="N25" s="45"/>
      <c r="O25" s="45"/>
      <c r="P25" s="177"/>
      <c r="Q25" s="177"/>
      <c r="R25" s="177"/>
      <c r="S25" s="177"/>
      <c r="T25" s="177"/>
      <c r="U25" s="177"/>
      <c r="V25" s="177"/>
      <c r="W25" s="177">
        <v>1</v>
      </c>
      <c r="X25" s="177"/>
      <c r="Y25" s="177"/>
      <c r="Z25" s="177"/>
      <c r="AA25" s="177"/>
      <c r="AB25" s="177"/>
      <c r="AC25" s="177">
        <v>0</v>
      </c>
      <c r="AD25" s="177">
        <v>0</v>
      </c>
      <c r="AE25" s="99">
        <f t="shared" si="2"/>
        <v>1</v>
      </c>
      <c r="AF25" s="177">
        <v>0</v>
      </c>
      <c r="AG25" s="99"/>
      <c r="AH25" s="99"/>
      <c r="AI25" s="99"/>
      <c r="AJ25" s="99"/>
      <c r="AK25" s="99"/>
      <c r="AL25" s="45"/>
      <c r="AM25" s="45"/>
      <c r="AN25" s="45"/>
      <c r="AO25" s="45"/>
      <c r="AP25" s="45"/>
      <c r="AQ25" s="45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00">
        <f t="shared" si="3"/>
        <v>0</v>
      </c>
      <c r="BI25" s="177">
        <v>0</v>
      </c>
      <c r="BJ25" s="46">
        <f t="shared" si="13"/>
        <v>1</v>
      </c>
      <c r="BK25" s="97">
        <f t="shared" si="11"/>
        <v>0</v>
      </c>
      <c r="BL25" s="70" t="s">
        <v>222</v>
      </c>
      <c r="BM25" s="52"/>
      <c r="BN25" s="175"/>
      <c r="BO25" s="100"/>
      <c r="BP25" s="99"/>
      <c r="BQ25" s="99"/>
      <c r="BR25" s="99"/>
      <c r="BS25" s="99"/>
      <c r="BT25" s="99"/>
      <c r="BU25" s="45"/>
      <c r="BV25" s="45"/>
      <c r="BW25" s="45"/>
      <c r="BX25" s="45"/>
      <c r="BY25" s="45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>
        <v>1</v>
      </c>
      <c r="CN25" s="177">
        <v>0</v>
      </c>
      <c r="CO25" s="177">
        <v>0</v>
      </c>
      <c r="CP25" s="99">
        <f t="shared" si="6"/>
        <v>1</v>
      </c>
      <c r="CQ25" s="177">
        <v>0</v>
      </c>
      <c r="CR25" s="99"/>
      <c r="CS25" s="99"/>
      <c r="CT25" s="99"/>
      <c r="CU25" s="99"/>
      <c r="CV25" s="45"/>
      <c r="CW25" s="45"/>
      <c r="CX25" s="45"/>
      <c r="CY25" s="45"/>
      <c r="CZ25" s="45"/>
      <c r="DA25" s="45"/>
      <c r="DB25" s="45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>
        <v>0</v>
      </c>
      <c r="DS25" s="99">
        <f t="shared" si="7"/>
        <v>0</v>
      </c>
      <c r="DT25" s="177">
        <v>0</v>
      </c>
      <c r="DU25" s="46">
        <f>+BN25+CP25+CQ25</f>
        <v>1</v>
      </c>
      <c r="DV25" s="97">
        <f>+DS25+DT25</f>
        <v>0</v>
      </c>
    </row>
    <row r="26" spans="1:126" ht="16.5" customHeight="1" x14ac:dyDescent="0.25">
      <c r="A26" s="70" t="s">
        <v>170</v>
      </c>
      <c r="B26" s="52"/>
      <c r="C26" s="175"/>
      <c r="D26" s="100">
        <v>4</v>
      </c>
      <c r="E26" s="99"/>
      <c r="F26" s="99"/>
      <c r="G26" s="99"/>
      <c r="H26" s="99"/>
      <c r="I26" s="99"/>
      <c r="J26" s="45"/>
      <c r="K26" s="45"/>
      <c r="L26" s="45">
        <v>1</v>
      </c>
      <c r="M26" s="45">
        <v>1</v>
      </c>
      <c r="N26" s="45"/>
      <c r="O26" s="45">
        <v>3</v>
      </c>
      <c r="P26" s="177">
        <v>4</v>
      </c>
      <c r="Q26" s="177"/>
      <c r="R26" s="177"/>
      <c r="S26" s="177"/>
      <c r="T26" s="177"/>
      <c r="U26" s="177"/>
      <c r="V26" s="177">
        <v>2</v>
      </c>
      <c r="W26" s="177">
        <v>3</v>
      </c>
      <c r="X26" s="177"/>
      <c r="Y26" s="177"/>
      <c r="Z26" s="177">
        <v>1</v>
      </c>
      <c r="AA26" s="177">
        <v>4</v>
      </c>
      <c r="AB26" s="177"/>
      <c r="AC26" s="177">
        <v>0</v>
      </c>
      <c r="AD26" s="177">
        <v>0</v>
      </c>
      <c r="AE26" s="99">
        <f t="shared" si="2"/>
        <v>23</v>
      </c>
      <c r="AF26" s="177">
        <v>52</v>
      </c>
      <c r="AG26" s="99"/>
      <c r="AH26" s="99"/>
      <c r="AI26" s="99"/>
      <c r="AJ26" s="99"/>
      <c r="AK26" s="99"/>
      <c r="AL26" s="45"/>
      <c r="AM26" s="45"/>
      <c r="AN26" s="45"/>
      <c r="AO26" s="45"/>
      <c r="AP26" s="45"/>
      <c r="AQ26" s="45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00">
        <f t="shared" si="3"/>
        <v>0</v>
      </c>
      <c r="BI26" s="177">
        <v>0</v>
      </c>
      <c r="BJ26" s="46">
        <f t="shared" si="13"/>
        <v>75</v>
      </c>
      <c r="BK26" s="97">
        <f t="shared" si="11"/>
        <v>0</v>
      </c>
      <c r="BL26" s="70" t="s">
        <v>142</v>
      </c>
      <c r="BM26" s="52"/>
      <c r="BN26" s="175"/>
      <c r="BO26" s="100">
        <v>18</v>
      </c>
      <c r="BP26" s="99"/>
      <c r="BQ26" s="99"/>
      <c r="BR26" s="99"/>
      <c r="BS26" s="99">
        <v>1</v>
      </c>
      <c r="BT26" s="99"/>
      <c r="BU26" s="45"/>
      <c r="BV26" s="45"/>
      <c r="BW26" s="45"/>
      <c r="BX26" s="45"/>
      <c r="BY26" s="45"/>
      <c r="BZ26" s="177"/>
      <c r="CA26" s="177"/>
      <c r="CB26" s="177"/>
      <c r="CC26" s="177"/>
      <c r="CD26" s="177">
        <v>2</v>
      </c>
      <c r="CE26" s="177"/>
      <c r="CF26" s="177"/>
      <c r="CG26" s="177"/>
      <c r="CH26" s="177"/>
      <c r="CI26" s="177"/>
      <c r="CJ26" s="177">
        <v>2</v>
      </c>
      <c r="CK26" s="177"/>
      <c r="CL26" s="177"/>
      <c r="CM26" s="177"/>
      <c r="CN26" s="222">
        <f>14-3</f>
        <v>11</v>
      </c>
      <c r="CO26" s="177">
        <v>0</v>
      </c>
      <c r="CP26" s="99">
        <f t="shared" si="6"/>
        <v>34</v>
      </c>
      <c r="CQ26" s="177">
        <v>0</v>
      </c>
      <c r="CR26" s="99"/>
      <c r="CS26" s="99"/>
      <c r="CT26" s="99"/>
      <c r="CU26" s="99"/>
      <c r="CV26" s="45"/>
      <c r="CW26" s="45"/>
      <c r="CX26" s="45"/>
      <c r="CY26" s="45"/>
      <c r="CZ26" s="45"/>
      <c r="DA26" s="45"/>
      <c r="DB26" s="45"/>
      <c r="DC26" s="177"/>
      <c r="DD26" s="177"/>
      <c r="DE26" s="177"/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>
        <v>0</v>
      </c>
      <c r="DS26" s="99">
        <f t="shared" si="7"/>
        <v>0</v>
      </c>
      <c r="DT26" s="177">
        <v>0</v>
      </c>
      <c r="DU26" s="46">
        <f t="shared" ref="DU26:DU44" si="14">+BN26+CP26+CQ26</f>
        <v>34</v>
      </c>
      <c r="DV26" s="97">
        <f t="shared" ref="DV26:DV44" si="15">+DS26+DT26</f>
        <v>0</v>
      </c>
    </row>
    <row r="27" spans="1:126" ht="16.5" customHeight="1" x14ac:dyDescent="0.25">
      <c r="A27" s="70" t="s">
        <v>211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214">
        <v>3</v>
      </c>
      <c r="T27" s="177"/>
      <c r="U27" s="177"/>
      <c r="V27" s="177">
        <v>7</v>
      </c>
      <c r="W27" s="177"/>
      <c r="X27" s="177"/>
      <c r="Y27" s="177">
        <v>2</v>
      </c>
      <c r="Z27" s="177"/>
      <c r="AA27" s="177"/>
      <c r="AB27" s="177"/>
      <c r="AC27" s="177">
        <v>0</v>
      </c>
      <c r="AD27" s="177">
        <v>0</v>
      </c>
      <c r="AE27" s="99">
        <f t="shared" si="2"/>
        <v>12</v>
      </c>
      <c r="AF27" s="177">
        <v>0</v>
      </c>
      <c r="AG27" s="52"/>
      <c r="AH27" s="52"/>
      <c r="AI27" s="52"/>
      <c r="AJ27" s="52"/>
      <c r="AK27" s="52"/>
      <c r="AL27" s="52"/>
      <c r="AM27" s="52"/>
      <c r="AN27" s="52"/>
      <c r="AO27" s="52"/>
      <c r="AP27" s="45"/>
      <c r="AQ27" s="45"/>
      <c r="AR27" s="45"/>
      <c r="AS27" s="45"/>
      <c r="AT27" s="45"/>
      <c r="AU27" s="45"/>
      <c r="AV27" s="45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00">
        <f t="shared" si="3"/>
        <v>0</v>
      </c>
      <c r="BI27" s="177">
        <v>0</v>
      </c>
      <c r="BJ27" s="46">
        <f>+C27+AE27+AF27</f>
        <v>12</v>
      </c>
      <c r="BK27" s="97">
        <f t="shared" si="11"/>
        <v>0</v>
      </c>
      <c r="BL27" s="70" t="s">
        <v>140</v>
      </c>
      <c r="BM27" s="52"/>
      <c r="BN27" s="175"/>
      <c r="BO27" s="100">
        <v>2</v>
      </c>
      <c r="BP27" s="99"/>
      <c r="BQ27" s="99"/>
      <c r="BR27" s="99"/>
      <c r="BS27" s="99"/>
      <c r="BT27" s="99"/>
      <c r="BU27" s="45"/>
      <c r="BV27" s="45"/>
      <c r="BW27" s="45"/>
      <c r="BX27" s="45"/>
      <c r="BY27" s="45"/>
      <c r="BZ27" s="177"/>
      <c r="CA27" s="177"/>
      <c r="CB27" s="177"/>
      <c r="CC27" s="177"/>
      <c r="CD27" s="177"/>
      <c r="CE27" s="177"/>
      <c r="CF27" s="177"/>
      <c r="CG27" s="177"/>
      <c r="CH27" s="177"/>
      <c r="CI27" s="177">
        <v>2</v>
      </c>
      <c r="CJ27" s="177">
        <v>6</v>
      </c>
      <c r="CK27" s="177"/>
      <c r="CL27" s="177"/>
      <c r="CM27" s="177"/>
      <c r="CN27" s="177">
        <v>0</v>
      </c>
      <c r="CO27" s="177">
        <v>0</v>
      </c>
      <c r="CP27" s="99">
        <f t="shared" si="6"/>
        <v>10</v>
      </c>
      <c r="CQ27" s="177">
        <v>0</v>
      </c>
      <c r="CR27" s="99"/>
      <c r="CS27" s="99"/>
      <c r="CT27" s="99"/>
      <c r="CU27" s="99"/>
      <c r="CV27" s="45"/>
      <c r="CW27" s="45"/>
      <c r="CX27" s="45"/>
      <c r="CY27" s="45"/>
      <c r="CZ27" s="45"/>
      <c r="DA27" s="45"/>
      <c r="DB27" s="45"/>
      <c r="DC27" s="177"/>
      <c r="DD27" s="177"/>
      <c r="DE27" s="177"/>
      <c r="DF27" s="177"/>
      <c r="DG27" s="177"/>
      <c r="DH27" s="177"/>
      <c r="DI27" s="177"/>
      <c r="DJ27" s="177"/>
      <c r="DK27" s="177"/>
      <c r="DL27" s="177"/>
      <c r="DM27" s="177"/>
      <c r="DN27" s="177"/>
      <c r="DO27" s="177"/>
      <c r="DP27" s="177"/>
      <c r="DQ27" s="177"/>
      <c r="DR27" s="177">
        <v>0</v>
      </c>
      <c r="DS27" s="99">
        <f t="shared" si="7"/>
        <v>0</v>
      </c>
      <c r="DT27" s="177">
        <v>0</v>
      </c>
      <c r="DU27" s="46">
        <f t="shared" si="14"/>
        <v>10</v>
      </c>
      <c r="DV27" s="97">
        <f t="shared" si="15"/>
        <v>0</v>
      </c>
    </row>
    <row r="28" spans="1:126" ht="16.5" customHeight="1" x14ac:dyDescent="0.25">
      <c r="A28" s="70" t="s">
        <v>167</v>
      </c>
      <c r="B28" s="52"/>
      <c r="C28" s="175"/>
      <c r="D28" s="100"/>
      <c r="E28" s="99"/>
      <c r="F28" s="99"/>
      <c r="G28" s="99">
        <v>6</v>
      </c>
      <c r="H28" s="99"/>
      <c r="I28" s="99"/>
      <c r="J28" s="45"/>
      <c r="K28" s="45"/>
      <c r="L28" s="45">
        <v>2</v>
      </c>
      <c r="M28" s="45"/>
      <c r="N28" s="45"/>
      <c r="O28" s="45"/>
      <c r="P28" s="177">
        <v>1</v>
      </c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>
        <v>22</v>
      </c>
      <c r="AB28" s="177"/>
      <c r="AC28" s="177">
        <v>0</v>
      </c>
      <c r="AD28" s="177">
        <v>0</v>
      </c>
      <c r="AE28" s="99">
        <f t="shared" si="2"/>
        <v>31</v>
      </c>
      <c r="AF28" s="177">
        <v>0</v>
      </c>
      <c r="AG28" s="99"/>
      <c r="AH28" s="99"/>
      <c r="AI28" s="99"/>
      <c r="AJ28" s="99">
        <v>1</v>
      </c>
      <c r="AK28" s="99"/>
      <c r="AL28" s="45"/>
      <c r="AM28" s="45"/>
      <c r="AN28" s="45"/>
      <c r="AO28" s="45"/>
      <c r="AP28" s="45"/>
      <c r="AQ28" s="45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00">
        <f t="shared" si="3"/>
        <v>1</v>
      </c>
      <c r="BI28" s="177">
        <v>0</v>
      </c>
      <c r="BJ28" s="46">
        <f t="shared" ref="BJ28:BJ41" si="16">+C28+AE28+AF28</f>
        <v>31</v>
      </c>
      <c r="BK28" s="97">
        <f t="shared" si="11"/>
        <v>1</v>
      </c>
      <c r="BL28" s="70" t="s">
        <v>193</v>
      </c>
      <c r="BM28" s="174"/>
      <c r="BN28" s="175"/>
      <c r="BO28" s="100">
        <v>3</v>
      </c>
      <c r="BP28" s="99"/>
      <c r="BQ28" s="99"/>
      <c r="BR28" s="99"/>
      <c r="BS28" s="99"/>
      <c r="BT28" s="99"/>
      <c r="BU28" s="45"/>
      <c r="BV28" s="45">
        <v>2</v>
      </c>
      <c r="BW28" s="45"/>
      <c r="BX28" s="45">
        <v>-1</v>
      </c>
      <c r="BY28" s="45">
        <v>1</v>
      </c>
      <c r="BZ28" s="177"/>
      <c r="CA28" s="177">
        <v>11</v>
      </c>
      <c r="CB28" s="177">
        <v>5</v>
      </c>
      <c r="CC28" s="177"/>
      <c r="CD28" s="177"/>
      <c r="CE28" s="177"/>
      <c r="CF28" s="177"/>
      <c r="CG28" s="177"/>
      <c r="CH28" s="177"/>
      <c r="CI28" s="222">
        <f>2-1</f>
        <v>1</v>
      </c>
      <c r="CJ28" s="177"/>
      <c r="CK28" s="177"/>
      <c r="CL28" s="177">
        <v>2</v>
      </c>
      <c r="CM28" s="222">
        <f>59-1</f>
        <v>58</v>
      </c>
      <c r="CN28" s="177">
        <v>0</v>
      </c>
      <c r="CO28" s="177">
        <v>0</v>
      </c>
      <c r="CP28" s="99">
        <f t="shared" si="6"/>
        <v>82</v>
      </c>
      <c r="CQ28" s="177">
        <v>0</v>
      </c>
      <c r="CR28" s="99"/>
      <c r="CS28" s="99"/>
      <c r="CT28" s="99"/>
      <c r="CU28" s="99"/>
      <c r="CV28" s="45"/>
      <c r="CW28" s="45"/>
      <c r="CX28" s="45"/>
      <c r="CY28" s="45"/>
      <c r="CZ28" s="45"/>
      <c r="DA28" s="45"/>
      <c r="DB28" s="45"/>
      <c r="DC28" s="177"/>
      <c r="DD28" s="177"/>
      <c r="DE28" s="177"/>
      <c r="DF28" s="177"/>
      <c r="DG28" s="177"/>
      <c r="DH28" s="177"/>
      <c r="DI28" s="177"/>
      <c r="DJ28" s="177"/>
      <c r="DK28" s="177"/>
      <c r="DL28" s="177"/>
      <c r="DM28" s="177"/>
      <c r="DN28" s="177"/>
      <c r="DO28" s="177"/>
      <c r="DP28" s="177"/>
      <c r="DQ28" s="177"/>
      <c r="DR28" s="177">
        <v>0</v>
      </c>
      <c r="DS28" s="99">
        <f t="shared" si="7"/>
        <v>0</v>
      </c>
      <c r="DT28" s="177">
        <v>0</v>
      </c>
      <c r="DU28" s="46">
        <f t="shared" si="14"/>
        <v>82</v>
      </c>
      <c r="DV28" s="97">
        <f t="shared" si="15"/>
        <v>0</v>
      </c>
    </row>
    <row r="29" spans="1:126" ht="16.5" customHeight="1" x14ac:dyDescent="0.25">
      <c r="A29" s="70" t="s">
        <v>178</v>
      </c>
      <c r="B29" s="52"/>
      <c r="C29" s="175"/>
      <c r="D29" s="100"/>
      <c r="E29" s="99"/>
      <c r="F29" s="99"/>
      <c r="G29" s="99"/>
      <c r="H29" s="99">
        <v>3</v>
      </c>
      <c r="I29" s="99"/>
      <c r="J29" s="45"/>
      <c r="K29" s="45"/>
      <c r="L29" s="45"/>
      <c r="M29" s="45"/>
      <c r="N29" s="45"/>
      <c r="O29" s="45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>
        <v>0</v>
      </c>
      <c r="AD29" s="177">
        <v>0</v>
      </c>
      <c r="AE29" s="99">
        <f t="shared" si="2"/>
        <v>3</v>
      </c>
      <c r="AF29" s="177">
        <v>0</v>
      </c>
      <c r="AG29" s="99"/>
      <c r="AH29" s="99"/>
      <c r="AI29" s="99"/>
      <c r="AJ29" s="99"/>
      <c r="AK29" s="99"/>
      <c r="AL29" s="45"/>
      <c r="AM29" s="45"/>
      <c r="AN29" s="45"/>
      <c r="AO29" s="45"/>
      <c r="AP29" s="45"/>
      <c r="AQ29" s="45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00">
        <f t="shared" si="3"/>
        <v>0</v>
      </c>
      <c r="BI29" s="177">
        <v>0</v>
      </c>
      <c r="BJ29" s="46">
        <f t="shared" si="16"/>
        <v>3</v>
      </c>
      <c r="BK29" s="97">
        <f t="shared" si="11"/>
        <v>0</v>
      </c>
      <c r="BL29" s="70" t="s">
        <v>171</v>
      </c>
      <c r="BM29" s="52"/>
      <c r="BN29" s="175"/>
      <c r="BO29" s="100"/>
      <c r="BP29" s="99"/>
      <c r="BQ29" s="99"/>
      <c r="BR29" s="99">
        <v>1</v>
      </c>
      <c r="BS29" s="99"/>
      <c r="BT29" s="99"/>
      <c r="BU29" s="45"/>
      <c r="BV29" s="45"/>
      <c r="BW29" s="45"/>
      <c r="BX29" s="45"/>
      <c r="BY29" s="45"/>
      <c r="BZ29" s="177"/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>
        <v>1</v>
      </c>
      <c r="CL29" s="177"/>
      <c r="CM29" s="177"/>
      <c r="CN29" s="177">
        <v>0</v>
      </c>
      <c r="CO29" s="177">
        <v>0</v>
      </c>
      <c r="CP29" s="99">
        <f t="shared" si="6"/>
        <v>2</v>
      </c>
      <c r="CQ29" s="177">
        <v>6</v>
      </c>
      <c r="CR29" s="99"/>
      <c r="CS29" s="99"/>
      <c r="CT29" s="99"/>
      <c r="CU29" s="99"/>
      <c r="CV29" s="45"/>
      <c r="CW29" s="45"/>
      <c r="CX29" s="45"/>
      <c r="CY29" s="45"/>
      <c r="CZ29" s="45"/>
      <c r="DA29" s="45"/>
      <c r="DB29" s="45"/>
      <c r="DC29" s="177"/>
      <c r="DD29" s="177"/>
      <c r="DE29" s="177"/>
      <c r="DF29" s="177"/>
      <c r="DG29" s="177"/>
      <c r="DH29" s="177"/>
      <c r="DI29" s="177"/>
      <c r="DJ29" s="177"/>
      <c r="DK29" s="177"/>
      <c r="DL29" s="177"/>
      <c r="DM29" s="177"/>
      <c r="DN29" s="177"/>
      <c r="DO29" s="177"/>
      <c r="DP29" s="177"/>
      <c r="DQ29" s="177"/>
      <c r="DR29" s="177">
        <v>0</v>
      </c>
      <c r="DS29" s="99">
        <f t="shared" si="7"/>
        <v>0</v>
      </c>
      <c r="DT29" s="177">
        <v>0</v>
      </c>
      <c r="DU29" s="46">
        <f t="shared" si="14"/>
        <v>8</v>
      </c>
      <c r="DV29" s="97">
        <f t="shared" si="15"/>
        <v>0</v>
      </c>
    </row>
    <row r="30" spans="1:126" ht="16.5" customHeight="1" x14ac:dyDescent="0.25">
      <c r="A30" s="70" t="s">
        <v>168</v>
      </c>
      <c r="B30" s="44"/>
      <c r="C30" s="175"/>
      <c r="D30" s="100"/>
      <c r="E30" s="99"/>
      <c r="F30" s="99"/>
      <c r="G30" s="99">
        <v>1</v>
      </c>
      <c r="H30" s="99">
        <v>5</v>
      </c>
      <c r="I30" s="99">
        <v>1</v>
      </c>
      <c r="J30" s="45"/>
      <c r="K30" s="45">
        <v>2</v>
      </c>
      <c r="L30" s="45"/>
      <c r="M30" s="45"/>
      <c r="N30" s="45"/>
      <c r="O30" s="45"/>
      <c r="P30" s="177">
        <v>1</v>
      </c>
      <c r="Q30" s="177"/>
      <c r="R30" s="177">
        <v>1</v>
      </c>
      <c r="S30" s="177">
        <v>4</v>
      </c>
      <c r="T30" s="177"/>
      <c r="U30" s="177"/>
      <c r="V30" s="177"/>
      <c r="W30" s="177"/>
      <c r="X30" s="177"/>
      <c r="Y30" s="177"/>
      <c r="Z30" s="177"/>
      <c r="AA30" s="177"/>
      <c r="AB30" s="177"/>
      <c r="AC30" s="177">
        <v>0</v>
      </c>
      <c r="AD30" s="177">
        <v>0</v>
      </c>
      <c r="AE30" s="99">
        <f t="shared" si="2"/>
        <v>15</v>
      </c>
      <c r="AF30" s="177">
        <v>0</v>
      </c>
      <c r="AG30" s="99"/>
      <c r="AH30" s="99"/>
      <c r="AI30" s="99"/>
      <c r="AJ30" s="99"/>
      <c r="AK30" s="99"/>
      <c r="AL30" s="45"/>
      <c r="AM30" s="45"/>
      <c r="AN30" s="45"/>
      <c r="AO30" s="45"/>
      <c r="AP30" s="45"/>
      <c r="AQ30" s="45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00">
        <f t="shared" si="3"/>
        <v>0</v>
      </c>
      <c r="BI30" s="177">
        <v>0</v>
      </c>
      <c r="BJ30" s="46">
        <f t="shared" si="16"/>
        <v>15</v>
      </c>
      <c r="BK30" s="97">
        <f t="shared" si="11"/>
        <v>0</v>
      </c>
      <c r="BL30" s="70" t="s">
        <v>202</v>
      </c>
      <c r="BM30" s="52"/>
      <c r="BN30" s="175"/>
      <c r="BO30" s="100"/>
      <c r="BP30" s="99"/>
      <c r="BQ30" s="99"/>
      <c r="BR30" s="99"/>
      <c r="BS30" s="99"/>
      <c r="BT30" s="99"/>
      <c r="BU30" s="45"/>
      <c r="BV30" s="45"/>
      <c r="BW30" s="45"/>
      <c r="BX30" s="45"/>
      <c r="BY30" s="45"/>
      <c r="BZ30" s="177">
        <v>2</v>
      </c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>
        <v>0</v>
      </c>
      <c r="CO30" s="177">
        <v>0</v>
      </c>
      <c r="CP30" s="99">
        <f t="shared" si="6"/>
        <v>2</v>
      </c>
      <c r="CQ30" s="177">
        <v>0</v>
      </c>
      <c r="CR30" s="99"/>
      <c r="CS30" s="99"/>
      <c r="CT30" s="99"/>
      <c r="CU30" s="99"/>
      <c r="CV30" s="45"/>
      <c r="CW30" s="45"/>
      <c r="CX30" s="45"/>
      <c r="CY30" s="45"/>
      <c r="CZ30" s="45"/>
      <c r="DA30" s="45"/>
      <c r="DB30" s="45"/>
      <c r="DC30" s="177"/>
      <c r="DD30" s="177"/>
      <c r="DE30" s="177"/>
      <c r="DF30" s="177"/>
      <c r="DG30" s="177"/>
      <c r="DH30" s="177"/>
      <c r="DI30" s="177"/>
      <c r="DJ30" s="177"/>
      <c r="DK30" s="177"/>
      <c r="DL30" s="177"/>
      <c r="DM30" s="177"/>
      <c r="DN30" s="177"/>
      <c r="DO30" s="177"/>
      <c r="DP30" s="177"/>
      <c r="DQ30" s="177"/>
      <c r="DR30" s="177">
        <v>0</v>
      </c>
      <c r="DS30" s="99">
        <f t="shared" si="7"/>
        <v>0</v>
      </c>
      <c r="DT30" s="177">
        <v>0</v>
      </c>
      <c r="DU30" s="46">
        <f t="shared" si="14"/>
        <v>2</v>
      </c>
      <c r="DV30" s="97">
        <f t="shared" si="15"/>
        <v>0</v>
      </c>
    </row>
    <row r="31" spans="1:126" ht="16.5" customHeight="1" x14ac:dyDescent="0.25">
      <c r="A31" s="70" t="s">
        <v>141</v>
      </c>
      <c r="B31" s="44"/>
      <c r="C31" s="175"/>
      <c r="D31" s="100">
        <v>2</v>
      </c>
      <c r="E31" s="99">
        <v>1</v>
      </c>
      <c r="F31" s="99"/>
      <c r="G31" s="99"/>
      <c r="H31" s="99"/>
      <c r="I31" s="99"/>
      <c r="J31" s="45"/>
      <c r="K31" s="45"/>
      <c r="L31" s="45"/>
      <c r="M31" s="45"/>
      <c r="N31" s="45"/>
      <c r="O31" s="45"/>
      <c r="P31" s="177"/>
      <c r="Q31" s="177"/>
      <c r="R31" s="177"/>
      <c r="S31" s="177"/>
      <c r="T31" s="177"/>
      <c r="U31" s="177"/>
      <c r="V31" s="177"/>
      <c r="W31" s="177">
        <v>5</v>
      </c>
      <c r="X31" s="177"/>
      <c r="Y31" s="177"/>
      <c r="Z31" s="177"/>
      <c r="AA31" s="177"/>
      <c r="AB31" s="177"/>
      <c r="AC31" s="177">
        <v>0</v>
      </c>
      <c r="AD31" s="177">
        <v>0</v>
      </c>
      <c r="AE31" s="99">
        <f t="shared" si="2"/>
        <v>8</v>
      </c>
      <c r="AF31" s="177">
        <v>0</v>
      </c>
      <c r="AG31" s="99"/>
      <c r="AH31" s="99"/>
      <c r="AI31" s="99"/>
      <c r="AJ31" s="99"/>
      <c r="AK31" s="99"/>
      <c r="AL31" s="45"/>
      <c r="AM31" s="45"/>
      <c r="AN31" s="45"/>
      <c r="AO31" s="45"/>
      <c r="AP31" s="45"/>
      <c r="AQ31" s="45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00">
        <f t="shared" si="3"/>
        <v>0</v>
      </c>
      <c r="BI31" s="177">
        <v>0</v>
      </c>
      <c r="BJ31" s="46">
        <f t="shared" si="16"/>
        <v>8</v>
      </c>
      <c r="BK31" s="97">
        <f t="shared" si="11"/>
        <v>0</v>
      </c>
      <c r="BL31" s="70" t="s">
        <v>181</v>
      </c>
      <c r="BM31" s="52"/>
      <c r="BN31" s="175"/>
      <c r="BO31" s="100"/>
      <c r="BP31" s="99"/>
      <c r="BQ31" s="99"/>
      <c r="BR31" s="99"/>
      <c r="BS31" s="99">
        <v>1</v>
      </c>
      <c r="BT31" s="99">
        <v>2</v>
      </c>
      <c r="BU31" s="45"/>
      <c r="BV31" s="45"/>
      <c r="BW31" s="45"/>
      <c r="BX31" s="45"/>
      <c r="BY31" s="45"/>
      <c r="BZ31" s="177"/>
      <c r="CA31" s="177"/>
      <c r="CB31" s="177"/>
      <c r="CC31" s="177">
        <v>1</v>
      </c>
      <c r="CD31" s="177"/>
      <c r="CE31" s="177"/>
      <c r="CF31" s="177"/>
      <c r="CG31" s="177"/>
      <c r="CH31" s="177"/>
      <c r="CI31" s="177"/>
      <c r="CJ31" s="177"/>
      <c r="CK31" s="177"/>
      <c r="CL31" s="177">
        <v>90</v>
      </c>
      <c r="CM31" s="177"/>
      <c r="CN31" s="177">
        <v>0</v>
      </c>
      <c r="CO31" s="177">
        <v>0</v>
      </c>
      <c r="CP31" s="99">
        <f t="shared" si="6"/>
        <v>94</v>
      </c>
      <c r="CQ31" s="177">
        <v>0</v>
      </c>
      <c r="CR31" s="99"/>
      <c r="CS31" s="99"/>
      <c r="CT31" s="99"/>
      <c r="CU31" s="99"/>
      <c r="CV31" s="45"/>
      <c r="CW31" s="45"/>
      <c r="CX31" s="45"/>
      <c r="CY31" s="45"/>
      <c r="CZ31" s="45"/>
      <c r="DA31" s="45"/>
      <c r="DB31" s="45"/>
      <c r="DC31" s="177"/>
      <c r="DD31" s="177"/>
      <c r="DE31" s="177"/>
      <c r="DF31" s="177"/>
      <c r="DG31" s="177"/>
      <c r="DH31" s="177"/>
      <c r="DI31" s="177"/>
      <c r="DJ31" s="177"/>
      <c r="DK31" s="177"/>
      <c r="DL31" s="177"/>
      <c r="DM31" s="177"/>
      <c r="DN31" s="177"/>
      <c r="DO31" s="177"/>
      <c r="DP31" s="177"/>
      <c r="DQ31" s="177"/>
      <c r="DR31" s="177">
        <v>0</v>
      </c>
      <c r="DS31" s="99">
        <f t="shared" si="7"/>
        <v>0</v>
      </c>
      <c r="DT31" s="177">
        <v>0</v>
      </c>
      <c r="DU31" s="46">
        <f t="shared" si="14"/>
        <v>94</v>
      </c>
      <c r="DV31" s="97">
        <f t="shared" si="15"/>
        <v>0</v>
      </c>
    </row>
    <row r="32" spans="1:126" ht="16.5" customHeight="1" x14ac:dyDescent="0.25">
      <c r="A32" s="70" t="s">
        <v>143</v>
      </c>
      <c r="B32" s="44"/>
      <c r="C32" s="175"/>
      <c r="D32" s="100">
        <v>362</v>
      </c>
      <c r="E32" s="99">
        <v>1</v>
      </c>
      <c r="F32" s="99">
        <v>3</v>
      </c>
      <c r="G32" s="99">
        <f>5-5</f>
        <v>0</v>
      </c>
      <c r="H32" s="99">
        <v>12</v>
      </c>
      <c r="I32" s="99">
        <f>60-3</f>
        <v>57</v>
      </c>
      <c r="J32" s="45">
        <v>3</v>
      </c>
      <c r="K32" s="45">
        <v>19</v>
      </c>
      <c r="L32" s="45">
        <f>58-1</f>
        <v>57</v>
      </c>
      <c r="M32" s="45">
        <v>19</v>
      </c>
      <c r="N32" s="45">
        <f>40-1</f>
        <v>39</v>
      </c>
      <c r="O32" s="45">
        <f>19-1</f>
        <v>18</v>
      </c>
      <c r="P32" s="177">
        <v>114</v>
      </c>
      <c r="Q32" s="177">
        <v>62</v>
      </c>
      <c r="R32" s="177">
        <v>8</v>
      </c>
      <c r="S32" s="177">
        <v>10</v>
      </c>
      <c r="T32" s="177">
        <v>33</v>
      </c>
      <c r="U32" s="177">
        <v>12</v>
      </c>
      <c r="V32" s="177">
        <v>4</v>
      </c>
      <c r="W32" s="177">
        <v>28</v>
      </c>
      <c r="X32" s="222">
        <f>20-1</f>
        <v>19</v>
      </c>
      <c r="Y32" s="222">
        <f>234-6</f>
        <v>228</v>
      </c>
      <c r="Z32" s="222">
        <f>114-1</f>
        <v>113</v>
      </c>
      <c r="AA32" s="222">
        <f>350-10</f>
        <v>340</v>
      </c>
      <c r="AB32" s="177">
        <v>390</v>
      </c>
      <c r="AC32" s="222">
        <f>522-21</f>
        <v>501</v>
      </c>
      <c r="AD32" s="177">
        <v>444</v>
      </c>
      <c r="AE32" s="99">
        <f t="shared" si="2"/>
        <v>2896</v>
      </c>
      <c r="AF32" s="177">
        <v>427</v>
      </c>
      <c r="AG32" s="99">
        <v>3</v>
      </c>
      <c r="AH32" s="99"/>
      <c r="AI32" s="99">
        <v>-3</v>
      </c>
      <c r="AJ32" s="99"/>
      <c r="AK32" s="99"/>
      <c r="AL32" s="45"/>
      <c r="AM32" s="45"/>
      <c r="AN32" s="45"/>
      <c r="AO32" s="45"/>
      <c r="AP32" s="45"/>
      <c r="AQ32" s="45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>
        <v>2</v>
      </c>
      <c r="BH32" s="100">
        <f t="shared" si="3"/>
        <v>2</v>
      </c>
      <c r="BI32" s="177">
        <v>0</v>
      </c>
      <c r="BJ32" s="46">
        <f t="shared" si="16"/>
        <v>3323</v>
      </c>
      <c r="BK32" s="97">
        <f t="shared" si="11"/>
        <v>2</v>
      </c>
      <c r="BL32" s="70" t="s">
        <v>172</v>
      </c>
      <c r="BM32" s="44"/>
      <c r="BN32" s="175"/>
      <c r="BO32" s="100">
        <v>1</v>
      </c>
      <c r="BP32" s="99"/>
      <c r="BQ32" s="99"/>
      <c r="BR32" s="99"/>
      <c r="BS32" s="99">
        <v>4</v>
      </c>
      <c r="BT32" s="99"/>
      <c r="BU32" s="45"/>
      <c r="BV32" s="45">
        <v>2</v>
      </c>
      <c r="BW32" s="45"/>
      <c r="BX32" s="45"/>
      <c r="BY32" s="45"/>
      <c r="BZ32" s="177"/>
      <c r="CA32" s="177">
        <v>3</v>
      </c>
      <c r="CB32" s="177"/>
      <c r="CC32" s="177"/>
      <c r="CD32" s="177"/>
      <c r="CE32" s="177"/>
      <c r="CF32" s="177"/>
      <c r="CG32" s="177"/>
      <c r="CH32" s="177"/>
      <c r="CI32" s="177"/>
      <c r="CJ32" s="177"/>
      <c r="CK32" s="177">
        <v>6</v>
      </c>
      <c r="CL32" s="177"/>
      <c r="CM32" s="177"/>
      <c r="CN32" s="177">
        <v>0</v>
      </c>
      <c r="CO32" s="177">
        <v>0</v>
      </c>
      <c r="CP32" s="99">
        <f t="shared" si="6"/>
        <v>16</v>
      </c>
      <c r="CQ32" s="177">
        <v>40</v>
      </c>
      <c r="CR32" s="99"/>
      <c r="CS32" s="99"/>
      <c r="CT32" s="99"/>
      <c r="CU32" s="99"/>
      <c r="CV32" s="45"/>
      <c r="CW32" s="45"/>
      <c r="CX32" s="45"/>
      <c r="CY32" s="45"/>
      <c r="CZ32" s="45"/>
      <c r="DA32" s="45"/>
      <c r="DB32" s="45"/>
      <c r="DC32" s="177"/>
      <c r="DD32" s="177"/>
      <c r="DE32" s="177"/>
      <c r="DF32" s="177"/>
      <c r="DG32" s="177"/>
      <c r="DH32" s="177"/>
      <c r="DI32" s="177"/>
      <c r="DJ32" s="177"/>
      <c r="DK32" s="177"/>
      <c r="DL32" s="177"/>
      <c r="DM32" s="177"/>
      <c r="DN32" s="177"/>
      <c r="DO32" s="177"/>
      <c r="DP32" s="177"/>
      <c r="DQ32" s="177"/>
      <c r="DR32" s="177">
        <v>0</v>
      </c>
      <c r="DS32" s="99">
        <v>0</v>
      </c>
      <c r="DT32" s="177">
        <v>0</v>
      </c>
      <c r="DU32" s="46">
        <f t="shared" si="14"/>
        <v>56</v>
      </c>
      <c r="DV32" s="97">
        <f t="shared" si="15"/>
        <v>0</v>
      </c>
    </row>
    <row r="33" spans="1:126" ht="16.5" customHeight="1" x14ac:dyDescent="0.25">
      <c r="A33" s="70" t="s">
        <v>179</v>
      </c>
      <c r="B33" s="44"/>
      <c r="C33" s="175"/>
      <c r="D33" s="100"/>
      <c r="E33" s="99"/>
      <c r="F33" s="99"/>
      <c r="G33" s="99"/>
      <c r="H33" s="99">
        <v>1</v>
      </c>
      <c r="I33" s="99"/>
      <c r="J33" s="45"/>
      <c r="K33" s="45"/>
      <c r="L33" s="45"/>
      <c r="M33" s="45"/>
      <c r="N33" s="45"/>
      <c r="O33" s="45"/>
      <c r="P33" s="177"/>
      <c r="Q33" s="177"/>
      <c r="R33" s="177">
        <v>1</v>
      </c>
      <c r="S33" s="177">
        <v>1</v>
      </c>
      <c r="T33" s="177"/>
      <c r="U33" s="177"/>
      <c r="V33" s="177"/>
      <c r="W33" s="177"/>
      <c r="X33" s="177"/>
      <c r="Y33" s="177"/>
      <c r="Z33" s="177"/>
      <c r="AA33" s="177">
        <v>3</v>
      </c>
      <c r="AB33" s="177">
        <v>1</v>
      </c>
      <c r="AC33" s="177">
        <v>0</v>
      </c>
      <c r="AD33" s="177">
        <v>0</v>
      </c>
      <c r="AE33" s="99">
        <f t="shared" si="2"/>
        <v>7</v>
      </c>
      <c r="AF33" s="177">
        <v>1</v>
      </c>
      <c r="AG33" s="99"/>
      <c r="AH33" s="99"/>
      <c r="AI33" s="99"/>
      <c r="AJ33" s="99"/>
      <c r="AK33" s="99"/>
      <c r="AL33" s="45"/>
      <c r="AM33" s="45"/>
      <c r="AN33" s="45"/>
      <c r="AO33" s="45"/>
      <c r="AP33" s="45"/>
      <c r="AQ33" s="45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00">
        <f t="shared" si="3"/>
        <v>0</v>
      </c>
      <c r="BI33" s="177">
        <v>0</v>
      </c>
      <c r="BJ33" s="46">
        <f t="shared" si="16"/>
        <v>8</v>
      </c>
      <c r="BK33" s="97">
        <f t="shared" si="11"/>
        <v>0</v>
      </c>
      <c r="BL33" s="70" t="s">
        <v>144</v>
      </c>
      <c r="BM33" s="52"/>
      <c r="BN33" s="175"/>
      <c r="BO33" s="100">
        <v>6</v>
      </c>
      <c r="BP33" s="99"/>
      <c r="BQ33" s="99"/>
      <c r="BR33" s="99"/>
      <c r="BS33" s="99"/>
      <c r="BT33" s="99">
        <v>5</v>
      </c>
      <c r="BU33" s="45"/>
      <c r="BV33" s="45"/>
      <c r="BW33" s="45"/>
      <c r="BX33" s="45">
        <v>17</v>
      </c>
      <c r="BY33" s="45">
        <v>2</v>
      </c>
      <c r="BZ33" s="177"/>
      <c r="CA33" s="177"/>
      <c r="CB33" s="177"/>
      <c r="CC33" s="177"/>
      <c r="CD33" s="177"/>
      <c r="CE33" s="177"/>
      <c r="CF33" s="177"/>
      <c r="CG33" s="177"/>
      <c r="CH33" s="177"/>
      <c r="CI33" s="177">
        <v>7</v>
      </c>
      <c r="CJ33" s="177"/>
      <c r="CK33" s="177"/>
      <c r="CL33" s="177"/>
      <c r="CM33" s="177"/>
      <c r="CN33" s="177">
        <v>4</v>
      </c>
      <c r="CO33" s="177">
        <v>0</v>
      </c>
      <c r="CP33" s="99">
        <f t="shared" si="6"/>
        <v>41</v>
      </c>
      <c r="CQ33" s="177">
        <v>12</v>
      </c>
      <c r="CR33" s="99"/>
      <c r="CS33" s="99"/>
      <c r="CT33" s="99"/>
      <c r="CU33" s="99"/>
      <c r="CV33" s="45"/>
      <c r="CW33" s="45"/>
      <c r="CX33" s="45"/>
      <c r="CY33" s="45"/>
      <c r="CZ33" s="45"/>
      <c r="DA33" s="45"/>
      <c r="DB33" s="45"/>
      <c r="DC33" s="177"/>
      <c r="DD33" s="177"/>
      <c r="DE33" s="177"/>
      <c r="DF33" s="177"/>
      <c r="DG33" s="177"/>
      <c r="DH33" s="177"/>
      <c r="DI33" s="177"/>
      <c r="DJ33" s="177"/>
      <c r="DK33" s="177"/>
      <c r="DL33" s="177"/>
      <c r="DM33" s="177"/>
      <c r="DN33" s="177"/>
      <c r="DO33" s="177"/>
      <c r="DP33" s="177"/>
      <c r="DQ33" s="177"/>
      <c r="DR33" s="177">
        <v>0</v>
      </c>
      <c r="DS33" s="99">
        <f t="shared" si="7"/>
        <v>0</v>
      </c>
      <c r="DT33" s="177">
        <v>0</v>
      </c>
      <c r="DU33" s="46">
        <f t="shared" si="14"/>
        <v>53</v>
      </c>
      <c r="DV33" s="97">
        <f t="shared" si="15"/>
        <v>0</v>
      </c>
    </row>
    <row r="34" spans="1:126" ht="16.5" customHeight="1" x14ac:dyDescent="0.25">
      <c r="A34" s="70" t="s">
        <v>145</v>
      </c>
      <c r="B34" s="52"/>
      <c r="C34" s="175"/>
      <c r="D34" s="99">
        <v>4</v>
      </c>
      <c r="E34" s="115"/>
      <c r="F34" s="115"/>
      <c r="G34" s="115"/>
      <c r="H34" s="115"/>
      <c r="I34" s="99"/>
      <c r="J34" s="100"/>
      <c r="K34" s="100"/>
      <c r="L34" s="100"/>
      <c r="M34" s="45"/>
      <c r="N34" s="45"/>
      <c r="O34" s="45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>
        <v>0</v>
      </c>
      <c r="AD34" s="177">
        <v>0</v>
      </c>
      <c r="AE34" s="99">
        <f t="shared" si="2"/>
        <v>4</v>
      </c>
      <c r="AF34" s="177">
        <v>1</v>
      </c>
      <c r="AG34" s="99"/>
      <c r="AH34" s="99"/>
      <c r="AI34" s="99"/>
      <c r="AJ34" s="99"/>
      <c r="AK34" s="99"/>
      <c r="AL34" s="99"/>
      <c r="AM34" s="99"/>
      <c r="AN34" s="99"/>
      <c r="AO34" s="99"/>
      <c r="AP34" s="45"/>
      <c r="AQ34" s="45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00">
        <f t="shared" si="3"/>
        <v>0</v>
      </c>
      <c r="BI34" s="177">
        <v>0</v>
      </c>
      <c r="BJ34" s="46">
        <f t="shared" si="16"/>
        <v>5</v>
      </c>
      <c r="BK34" s="97">
        <f t="shared" si="11"/>
        <v>0</v>
      </c>
      <c r="BL34" s="70" t="s">
        <v>146</v>
      </c>
      <c r="BM34" s="52"/>
      <c r="BN34" s="175"/>
      <c r="BO34" s="100">
        <v>182</v>
      </c>
      <c r="BP34" s="99">
        <v>6</v>
      </c>
      <c r="BQ34" s="99">
        <v>2</v>
      </c>
      <c r="BR34" s="99">
        <v>1</v>
      </c>
      <c r="BS34" s="99">
        <v>46</v>
      </c>
      <c r="BT34" s="99">
        <f>8-2</f>
        <v>6</v>
      </c>
      <c r="BU34" s="45">
        <v>6</v>
      </c>
      <c r="BV34" s="45">
        <v>10</v>
      </c>
      <c r="BW34" s="45">
        <v>4</v>
      </c>
      <c r="BX34" s="45">
        <f>17-3</f>
        <v>14</v>
      </c>
      <c r="BY34" s="45">
        <v>1</v>
      </c>
      <c r="BZ34" s="177">
        <v>42</v>
      </c>
      <c r="CA34" s="177">
        <v>43</v>
      </c>
      <c r="CB34" s="177">
        <v>44</v>
      </c>
      <c r="CC34" s="222">
        <f>31-2</f>
        <v>29</v>
      </c>
      <c r="CD34" s="177">
        <v>3</v>
      </c>
      <c r="CE34" s="222">
        <f>6-1</f>
        <v>5</v>
      </c>
      <c r="CF34" s="222">
        <f>63-1</f>
        <v>62</v>
      </c>
      <c r="CG34" s="177">
        <v>21</v>
      </c>
      <c r="CH34" s="222">
        <f>30-5</f>
        <v>25</v>
      </c>
      <c r="CI34" s="177">
        <v>4</v>
      </c>
      <c r="CJ34" s="177">
        <v>9</v>
      </c>
      <c r="CK34" s="177">
        <v>6</v>
      </c>
      <c r="CL34" s="222">
        <f>8-5</f>
        <v>3</v>
      </c>
      <c r="CM34" s="177">
        <v>334</v>
      </c>
      <c r="CN34" s="222">
        <f>179-15</f>
        <v>164</v>
      </c>
      <c r="CO34" s="177">
        <v>10</v>
      </c>
      <c r="CP34" s="99">
        <f t="shared" si="6"/>
        <v>1082</v>
      </c>
      <c r="CQ34" s="177">
        <v>2</v>
      </c>
      <c r="CR34" s="99">
        <v>2</v>
      </c>
      <c r="CS34" s="99"/>
      <c r="CT34" s="99">
        <v>-2</v>
      </c>
      <c r="CU34" s="99"/>
      <c r="CV34" s="45"/>
      <c r="CW34" s="45"/>
      <c r="CX34" s="45"/>
      <c r="CY34" s="45"/>
      <c r="CZ34" s="45"/>
      <c r="DA34" s="45"/>
      <c r="DB34" s="45"/>
      <c r="DC34" s="177"/>
      <c r="DD34" s="177"/>
      <c r="DE34" s="177"/>
      <c r="DF34" s="177"/>
      <c r="DG34" s="177"/>
      <c r="DH34" s="177"/>
      <c r="DI34" s="177">
        <v>3</v>
      </c>
      <c r="DJ34" s="177"/>
      <c r="DK34" s="177"/>
      <c r="DL34" s="177"/>
      <c r="DM34" s="177">
        <v>1</v>
      </c>
      <c r="DN34" s="177"/>
      <c r="DO34" s="177"/>
      <c r="DP34" s="177"/>
      <c r="DQ34" s="177"/>
      <c r="DR34" s="177">
        <v>0</v>
      </c>
      <c r="DS34" s="99">
        <f t="shared" si="7"/>
        <v>4</v>
      </c>
      <c r="DT34" s="177">
        <v>0</v>
      </c>
      <c r="DU34" s="46">
        <f t="shared" si="14"/>
        <v>1084</v>
      </c>
      <c r="DV34" s="97">
        <f t="shared" si="15"/>
        <v>4</v>
      </c>
    </row>
    <row r="35" spans="1:126" ht="16.5" customHeight="1" x14ac:dyDescent="0.25">
      <c r="A35" s="70" t="s">
        <v>189</v>
      </c>
      <c r="B35" s="52"/>
      <c r="C35" s="175"/>
      <c r="D35" s="100"/>
      <c r="E35" s="99"/>
      <c r="F35" s="99"/>
      <c r="G35" s="99"/>
      <c r="H35" s="99"/>
      <c r="I35" s="99"/>
      <c r="J35" s="45"/>
      <c r="K35" s="45"/>
      <c r="L35" s="45"/>
      <c r="M35" s="45">
        <v>2</v>
      </c>
      <c r="N35" s="45"/>
      <c r="O35" s="45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>
        <v>0</v>
      </c>
      <c r="AD35" s="177">
        <v>0</v>
      </c>
      <c r="AE35" s="99">
        <f t="shared" si="2"/>
        <v>2</v>
      </c>
      <c r="AF35" s="177">
        <v>0</v>
      </c>
      <c r="AG35" s="99"/>
      <c r="AH35" s="99"/>
      <c r="AI35" s="99"/>
      <c r="AJ35" s="99"/>
      <c r="AK35" s="99"/>
      <c r="AL35" s="45"/>
      <c r="AM35" s="45"/>
      <c r="AN35" s="45"/>
      <c r="AO35" s="45"/>
      <c r="AP35" s="45"/>
      <c r="AQ35" s="45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00">
        <f t="shared" si="3"/>
        <v>0</v>
      </c>
      <c r="BI35" s="177">
        <v>0</v>
      </c>
      <c r="BJ35" s="46">
        <f t="shared" si="16"/>
        <v>2</v>
      </c>
      <c r="BK35" s="97">
        <f t="shared" si="11"/>
        <v>0</v>
      </c>
      <c r="BL35" s="70" t="s">
        <v>148</v>
      </c>
      <c r="BM35" s="44"/>
      <c r="BN35" s="175"/>
      <c r="BO35" s="100"/>
      <c r="BP35" s="99">
        <v>1</v>
      </c>
      <c r="BQ35" s="99"/>
      <c r="BR35" s="99"/>
      <c r="BS35" s="99"/>
      <c r="BT35" s="99"/>
      <c r="BU35" s="45"/>
      <c r="BV35" s="45"/>
      <c r="BW35" s="45">
        <v>1</v>
      </c>
      <c r="BX35" s="45"/>
      <c r="BY35" s="45"/>
      <c r="BZ35" s="177"/>
      <c r="CA35" s="177">
        <v>3</v>
      </c>
      <c r="CB35" s="177"/>
      <c r="CC35" s="177"/>
      <c r="CD35" s="177"/>
      <c r="CE35" s="177"/>
      <c r="CF35" s="177"/>
      <c r="CG35" s="177"/>
      <c r="CH35" s="177"/>
      <c r="CI35" s="177"/>
      <c r="CJ35" s="177"/>
      <c r="CK35" s="177"/>
      <c r="CL35" s="177"/>
      <c r="CM35" s="177"/>
      <c r="CN35" s="177">
        <v>0</v>
      </c>
      <c r="CO35" s="177">
        <v>0</v>
      </c>
      <c r="CP35" s="99">
        <f t="shared" si="6"/>
        <v>5</v>
      </c>
      <c r="CQ35" s="177">
        <v>0</v>
      </c>
      <c r="CR35" s="99"/>
      <c r="CS35" s="99"/>
      <c r="CT35" s="99"/>
      <c r="CU35" s="99"/>
      <c r="CV35" s="45"/>
      <c r="CW35" s="45"/>
      <c r="CX35" s="45"/>
      <c r="CY35" s="45"/>
      <c r="CZ35" s="45"/>
      <c r="DA35" s="45"/>
      <c r="DB35" s="45"/>
      <c r="DC35" s="177"/>
      <c r="DD35" s="177"/>
      <c r="DE35" s="177"/>
      <c r="DF35" s="177"/>
      <c r="DG35" s="177"/>
      <c r="DH35" s="177"/>
      <c r="DI35" s="177"/>
      <c r="DJ35" s="177"/>
      <c r="DK35" s="177"/>
      <c r="DL35" s="177"/>
      <c r="DM35" s="177"/>
      <c r="DN35" s="177"/>
      <c r="DO35" s="177"/>
      <c r="DP35" s="177"/>
      <c r="DQ35" s="177"/>
      <c r="DR35" s="177">
        <v>0</v>
      </c>
      <c r="DS35" s="99">
        <f t="shared" si="7"/>
        <v>0</v>
      </c>
      <c r="DT35" s="177">
        <v>0</v>
      </c>
      <c r="DU35" s="46">
        <f t="shared" si="14"/>
        <v>5</v>
      </c>
      <c r="DV35" s="97">
        <f t="shared" si="15"/>
        <v>0</v>
      </c>
    </row>
    <row r="36" spans="1:126" ht="16.5" customHeight="1" x14ac:dyDescent="0.25">
      <c r="A36" s="70" t="s">
        <v>147</v>
      </c>
      <c r="B36" s="44"/>
      <c r="C36" s="175"/>
      <c r="D36" s="100">
        <v>144</v>
      </c>
      <c r="E36" s="99"/>
      <c r="F36" s="99">
        <v>11</v>
      </c>
      <c r="G36" s="99">
        <v>5</v>
      </c>
      <c r="H36" s="99">
        <v>8</v>
      </c>
      <c r="I36" s="99"/>
      <c r="J36" s="45">
        <v>1</v>
      </c>
      <c r="K36" s="45">
        <v>70</v>
      </c>
      <c r="L36" s="45">
        <v>1</v>
      </c>
      <c r="M36" s="45">
        <v>40</v>
      </c>
      <c r="N36" s="45">
        <v>1</v>
      </c>
      <c r="O36" s="45">
        <f>69-1</f>
        <v>68</v>
      </c>
      <c r="P36" s="177"/>
      <c r="Q36" s="177">
        <v>45</v>
      </c>
      <c r="R36" s="177">
        <v>1</v>
      </c>
      <c r="S36" s="177">
        <v>11</v>
      </c>
      <c r="T36" s="177"/>
      <c r="U36" s="222">
        <f>5-1</f>
        <v>4</v>
      </c>
      <c r="V36" s="222">
        <f>5-1</f>
        <v>4</v>
      </c>
      <c r="W36" s="177">
        <v>10</v>
      </c>
      <c r="X36" s="177">
        <v>12</v>
      </c>
      <c r="Y36" s="177"/>
      <c r="Z36" s="222">
        <f>181-9</f>
        <v>172</v>
      </c>
      <c r="AA36" s="222">
        <f>73-4</f>
        <v>69</v>
      </c>
      <c r="AB36" s="177">
        <v>12</v>
      </c>
      <c r="AC36" s="222">
        <f>257-5</f>
        <v>252</v>
      </c>
      <c r="AD36" s="177">
        <v>117</v>
      </c>
      <c r="AE36" s="99">
        <f t="shared" si="2"/>
        <v>1058</v>
      </c>
      <c r="AF36" s="177">
        <v>195</v>
      </c>
      <c r="AG36" s="99">
        <v>11</v>
      </c>
      <c r="AH36" s="99"/>
      <c r="AI36" s="99">
        <v>-11</v>
      </c>
      <c r="AJ36" s="99"/>
      <c r="AK36" s="99"/>
      <c r="AL36" s="45"/>
      <c r="AM36" s="45"/>
      <c r="AN36" s="45">
        <v>12</v>
      </c>
      <c r="AO36" s="45"/>
      <c r="AP36" s="45"/>
      <c r="AQ36" s="45"/>
      <c r="AR36" s="177">
        <v>3</v>
      </c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>
        <v>1</v>
      </c>
      <c r="BE36" s="177"/>
      <c r="BF36" s="177"/>
      <c r="BG36" s="177"/>
      <c r="BH36" s="100">
        <f t="shared" si="3"/>
        <v>16</v>
      </c>
      <c r="BI36" s="177">
        <v>0</v>
      </c>
      <c r="BJ36" s="46">
        <f t="shared" si="16"/>
        <v>1253</v>
      </c>
      <c r="BK36" s="97">
        <f t="shared" si="11"/>
        <v>16</v>
      </c>
      <c r="BL36" s="70" t="s">
        <v>216</v>
      </c>
      <c r="BM36" s="52"/>
      <c r="BN36" s="175"/>
      <c r="BO36" s="100">
        <v>55</v>
      </c>
      <c r="BP36" s="99"/>
      <c r="BQ36" s="99">
        <v>10</v>
      </c>
      <c r="BR36" s="99"/>
      <c r="BS36" s="99">
        <f>1-1</f>
        <v>0</v>
      </c>
      <c r="BT36" s="99">
        <f>4-1</f>
        <v>3</v>
      </c>
      <c r="BU36" s="45">
        <v>1</v>
      </c>
      <c r="BV36" s="45">
        <v>1</v>
      </c>
      <c r="BW36" s="45"/>
      <c r="BX36" s="45">
        <v>33</v>
      </c>
      <c r="BY36" s="45"/>
      <c r="BZ36" s="177"/>
      <c r="CA36" s="177"/>
      <c r="CB36" s="177"/>
      <c r="CC36" s="177"/>
      <c r="CD36" s="177"/>
      <c r="CE36" s="222">
        <f>50-1</f>
        <v>49</v>
      </c>
      <c r="CF36" s="222">
        <f>0-1</f>
        <v>-1</v>
      </c>
      <c r="CG36" s="177"/>
      <c r="CH36" s="222">
        <f>0-1</f>
        <v>-1</v>
      </c>
      <c r="CI36" s="177">
        <v>1</v>
      </c>
      <c r="CJ36" s="222">
        <f>258-2</f>
        <v>256</v>
      </c>
      <c r="CK36" s="222">
        <f>177-1</f>
        <v>176</v>
      </c>
      <c r="CL36" s="222">
        <f>86-2</f>
        <v>84</v>
      </c>
      <c r="CM36" s="177">
        <v>59</v>
      </c>
      <c r="CN36" s="222">
        <f>508-5</f>
        <v>503</v>
      </c>
      <c r="CO36" s="177">
        <v>168</v>
      </c>
      <c r="CP36" s="99">
        <f t="shared" si="6"/>
        <v>1397</v>
      </c>
      <c r="CQ36" s="177">
        <v>1</v>
      </c>
      <c r="CR36" s="99">
        <v>10</v>
      </c>
      <c r="CS36" s="99"/>
      <c r="CT36" s="99">
        <v>-10</v>
      </c>
      <c r="CU36" s="99"/>
      <c r="CV36" s="45"/>
      <c r="CW36" s="45"/>
      <c r="CX36" s="45"/>
      <c r="CY36" s="45"/>
      <c r="CZ36" s="45"/>
      <c r="DA36" s="45"/>
      <c r="DB36" s="45"/>
      <c r="DC36" s="177"/>
      <c r="DD36" s="177"/>
      <c r="DE36" s="177"/>
      <c r="DF36" s="177"/>
      <c r="DG36" s="177"/>
      <c r="DH36" s="177"/>
      <c r="DI36" s="177"/>
      <c r="DJ36" s="177"/>
      <c r="DK36" s="177"/>
      <c r="DL36" s="177"/>
      <c r="DM36" s="177"/>
      <c r="DN36" s="177"/>
      <c r="DO36" s="177"/>
      <c r="DP36" s="177"/>
      <c r="DQ36" s="177"/>
      <c r="DR36" s="177">
        <v>0</v>
      </c>
      <c r="DS36" s="99">
        <f t="shared" si="7"/>
        <v>0</v>
      </c>
      <c r="DT36" s="177">
        <v>0</v>
      </c>
      <c r="DU36" s="46">
        <f t="shared" si="14"/>
        <v>1398</v>
      </c>
      <c r="DV36" s="97">
        <f t="shared" si="15"/>
        <v>0</v>
      </c>
    </row>
    <row r="37" spans="1:126" ht="16.5" customHeight="1" x14ac:dyDescent="0.25">
      <c r="A37" s="70" t="s">
        <v>149</v>
      </c>
      <c r="B37" s="52"/>
      <c r="C37" s="175"/>
      <c r="D37" s="100">
        <v>6</v>
      </c>
      <c r="E37" s="99"/>
      <c r="F37" s="99"/>
      <c r="G37" s="99">
        <v>2</v>
      </c>
      <c r="H37" s="99"/>
      <c r="I37" s="99">
        <v>1</v>
      </c>
      <c r="J37" s="45"/>
      <c r="K37" s="45"/>
      <c r="L37" s="45"/>
      <c r="M37" s="45">
        <v>6</v>
      </c>
      <c r="N37" s="45">
        <v>9</v>
      </c>
      <c r="O37" s="45"/>
      <c r="P37" s="177">
        <v>2</v>
      </c>
      <c r="Q37" s="177">
        <v>1</v>
      </c>
      <c r="R37" s="177">
        <v>1</v>
      </c>
      <c r="S37" s="177"/>
      <c r="T37" s="177">
        <v>1</v>
      </c>
      <c r="U37" s="177">
        <v>1</v>
      </c>
      <c r="V37" s="177"/>
      <c r="W37" s="177"/>
      <c r="X37" s="177"/>
      <c r="Y37" s="177">
        <v>3</v>
      </c>
      <c r="Z37" s="177">
        <v>2</v>
      </c>
      <c r="AA37" s="177"/>
      <c r="AB37" s="177"/>
      <c r="AC37" s="177">
        <v>1</v>
      </c>
      <c r="AD37" s="177">
        <v>0</v>
      </c>
      <c r="AE37" s="99">
        <f t="shared" si="2"/>
        <v>36</v>
      </c>
      <c r="AF37" s="177">
        <v>0</v>
      </c>
      <c r="AG37" s="99"/>
      <c r="AH37" s="99"/>
      <c r="AI37" s="99"/>
      <c r="AJ37" s="99"/>
      <c r="AK37" s="99"/>
      <c r="AL37" s="45"/>
      <c r="AM37" s="45"/>
      <c r="AN37" s="45"/>
      <c r="AO37" s="45"/>
      <c r="AP37" s="45"/>
      <c r="AQ37" s="45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00">
        <f t="shared" si="3"/>
        <v>0</v>
      </c>
      <c r="BI37" s="177">
        <v>0</v>
      </c>
      <c r="BJ37" s="46">
        <f t="shared" si="16"/>
        <v>36</v>
      </c>
      <c r="BK37" s="97">
        <f t="shared" si="11"/>
        <v>0</v>
      </c>
      <c r="BL37" s="70" t="s">
        <v>215</v>
      </c>
      <c r="BM37" s="52"/>
      <c r="BN37" s="176"/>
      <c r="BO37" s="114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>
        <v>1</v>
      </c>
      <c r="CL37" s="177"/>
      <c r="CM37" s="177"/>
      <c r="CN37" s="177">
        <v>0</v>
      </c>
      <c r="CO37" s="177">
        <v>0</v>
      </c>
      <c r="CP37" s="99">
        <f t="shared" si="6"/>
        <v>1</v>
      </c>
      <c r="CQ37" s="177">
        <v>0</v>
      </c>
      <c r="CR37" s="99"/>
      <c r="CS37" s="99"/>
      <c r="CT37" s="99"/>
      <c r="CU37" s="99"/>
      <c r="CV37" s="99"/>
      <c r="CW37" s="99"/>
      <c r="CX37" s="99"/>
      <c r="CY37" s="99"/>
      <c r="CZ37" s="99"/>
      <c r="DA37" s="45"/>
      <c r="DB37" s="45"/>
      <c r="DC37" s="177"/>
      <c r="DD37" s="177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>
        <v>0</v>
      </c>
      <c r="DS37" s="99">
        <f t="shared" si="7"/>
        <v>0</v>
      </c>
      <c r="DT37" s="177">
        <v>0</v>
      </c>
      <c r="DU37" s="46">
        <f t="shared" si="14"/>
        <v>1</v>
      </c>
      <c r="DV37" s="97">
        <f t="shared" si="15"/>
        <v>0</v>
      </c>
    </row>
    <row r="38" spans="1:126" ht="16.5" customHeight="1" x14ac:dyDescent="0.25">
      <c r="A38" s="70" t="s">
        <v>151</v>
      </c>
      <c r="B38" s="44"/>
      <c r="C38" s="175"/>
      <c r="D38" s="100">
        <v>2</v>
      </c>
      <c r="E38" s="99">
        <v>1</v>
      </c>
      <c r="F38" s="99"/>
      <c r="G38" s="99">
        <v>1</v>
      </c>
      <c r="H38" s="99"/>
      <c r="I38" s="99"/>
      <c r="J38" s="45"/>
      <c r="K38" s="45"/>
      <c r="L38" s="45">
        <v>1</v>
      </c>
      <c r="M38" s="45"/>
      <c r="N38" s="45"/>
      <c r="O38" s="45"/>
      <c r="P38" s="177">
        <v>1</v>
      </c>
      <c r="Q38" s="177"/>
      <c r="R38" s="177">
        <v>4</v>
      </c>
      <c r="S38" s="177"/>
      <c r="T38" s="177"/>
      <c r="U38" s="177"/>
      <c r="V38" s="177"/>
      <c r="W38" s="177"/>
      <c r="X38" s="177"/>
      <c r="Y38" s="177"/>
      <c r="Z38" s="177">
        <v>5</v>
      </c>
      <c r="AA38" s="177"/>
      <c r="AB38" s="177"/>
      <c r="AC38" s="177">
        <v>0</v>
      </c>
      <c r="AD38" s="177">
        <v>0</v>
      </c>
      <c r="AE38" s="99">
        <f t="shared" si="2"/>
        <v>15</v>
      </c>
      <c r="AF38" s="177">
        <v>64</v>
      </c>
      <c r="AG38" s="99"/>
      <c r="AH38" s="99"/>
      <c r="AI38" s="99"/>
      <c r="AJ38" s="99"/>
      <c r="AK38" s="99"/>
      <c r="AL38" s="45"/>
      <c r="AM38" s="45"/>
      <c r="AN38" s="45"/>
      <c r="AO38" s="45"/>
      <c r="AP38" s="45"/>
      <c r="AQ38" s="45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7"/>
      <c r="BD38" s="177"/>
      <c r="BE38" s="177"/>
      <c r="BF38" s="177"/>
      <c r="BG38" s="177"/>
      <c r="BH38" s="100">
        <f t="shared" si="3"/>
        <v>0</v>
      </c>
      <c r="BI38" s="177">
        <v>0</v>
      </c>
      <c r="BJ38" s="46">
        <f t="shared" si="16"/>
        <v>79</v>
      </c>
      <c r="BK38" s="97">
        <f t="shared" si="11"/>
        <v>0</v>
      </c>
      <c r="BL38" s="70" t="s">
        <v>223</v>
      </c>
      <c r="BM38" s="44"/>
      <c r="BN38" s="175"/>
      <c r="BO38" s="100"/>
      <c r="BP38" s="99"/>
      <c r="BQ38" s="99"/>
      <c r="BR38" s="99"/>
      <c r="BS38" s="99"/>
      <c r="BT38" s="99"/>
      <c r="BU38" s="45"/>
      <c r="BV38" s="45"/>
      <c r="BW38" s="45"/>
      <c r="BX38" s="45"/>
      <c r="BY38" s="45"/>
      <c r="BZ38" s="177"/>
      <c r="CA38" s="177"/>
      <c r="CB38" s="177"/>
      <c r="CC38" s="177"/>
      <c r="CD38" s="177"/>
      <c r="CE38" s="177"/>
      <c r="CF38" s="177"/>
      <c r="CG38" s="177"/>
      <c r="CH38" s="177"/>
      <c r="CI38" s="177"/>
      <c r="CJ38" s="177"/>
      <c r="CK38" s="177"/>
      <c r="CL38" s="177"/>
      <c r="CM38" s="177">
        <v>1</v>
      </c>
      <c r="CN38" s="177">
        <v>0</v>
      </c>
      <c r="CO38" s="177">
        <v>0</v>
      </c>
      <c r="CP38" s="99">
        <f t="shared" si="6"/>
        <v>1</v>
      </c>
      <c r="CQ38" s="177">
        <v>0</v>
      </c>
      <c r="CR38" s="99"/>
      <c r="CS38" s="99"/>
      <c r="CT38" s="99"/>
      <c r="CU38" s="99"/>
      <c r="CV38" s="45"/>
      <c r="CW38" s="45"/>
      <c r="CX38" s="45"/>
      <c r="CY38" s="45"/>
      <c r="CZ38" s="45"/>
      <c r="DA38" s="45"/>
      <c r="DB38" s="45"/>
      <c r="DC38" s="177"/>
      <c r="DD38" s="177"/>
      <c r="DE38" s="177"/>
      <c r="DF38" s="177"/>
      <c r="DG38" s="177"/>
      <c r="DH38" s="177"/>
      <c r="DI38" s="177"/>
      <c r="DJ38" s="177"/>
      <c r="DK38" s="177"/>
      <c r="DL38" s="177"/>
      <c r="DM38" s="177"/>
      <c r="DN38" s="177"/>
      <c r="DO38" s="177"/>
      <c r="DP38" s="177"/>
      <c r="DQ38" s="177"/>
      <c r="DR38" s="177">
        <v>0</v>
      </c>
      <c r="DS38" s="99">
        <f t="shared" si="7"/>
        <v>0</v>
      </c>
      <c r="DT38" s="177">
        <v>0</v>
      </c>
      <c r="DU38" s="46">
        <f t="shared" si="14"/>
        <v>1</v>
      </c>
      <c r="DV38" s="97">
        <f t="shared" si="15"/>
        <v>0</v>
      </c>
    </row>
    <row r="39" spans="1:126" ht="16.5" customHeight="1" x14ac:dyDescent="0.25">
      <c r="A39" s="70" t="s">
        <v>153</v>
      </c>
      <c r="B39" s="52"/>
      <c r="C39" s="175"/>
      <c r="D39" s="100">
        <v>13</v>
      </c>
      <c r="E39" s="52"/>
      <c r="F39" s="52"/>
      <c r="G39" s="52"/>
      <c r="H39" s="52"/>
      <c r="I39" s="52"/>
      <c r="J39" s="52"/>
      <c r="K39" s="52"/>
      <c r="L39" s="52"/>
      <c r="M39" s="45"/>
      <c r="N39" s="45">
        <v>1</v>
      </c>
      <c r="O39" s="45"/>
      <c r="P39" s="177">
        <v>1</v>
      </c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>
        <v>22</v>
      </c>
      <c r="AC39" s="177">
        <v>0</v>
      </c>
      <c r="AD39" s="177">
        <v>0</v>
      </c>
      <c r="AE39" s="99">
        <f t="shared" si="2"/>
        <v>37</v>
      </c>
      <c r="AF39" s="177">
        <v>0</v>
      </c>
      <c r="AG39" s="52"/>
      <c r="AH39" s="52"/>
      <c r="AI39" s="52"/>
      <c r="AJ39" s="52"/>
      <c r="AK39" s="52"/>
      <c r="AL39" s="52"/>
      <c r="AM39" s="52"/>
      <c r="AN39" s="52"/>
      <c r="AO39" s="52"/>
      <c r="AP39" s="45"/>
      <c r="AQ39" s="45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00">
        <f t="shared" si="3"/>
        <v>0</v>
      </c>
      <c r="BI39" s="177">
        <v>0</v>
      </c>
      <c r="BJ39" s="46">
        <f t="shared" si="16"/>
        <v>37</v>
      </c>
      <c r="BK39" s="97">
        <f t="shared" si="11"/>
        <v>0</v>
      </c>
      <c r="BL39" s="70" t="s">
        <v>152</v>
      </c>
      <c r="BM39" s="44"/>
      <c r="BN39" s="175"/>
      <c r="BO39" s="100">
        <v>7</v>
      </c>
      <c r="BP39" s="99"/>
      <c r="BQ39" s="99">
        <v>1</v>
      </c>
      <c r="BR39" s="99"/>
      <c r="BS39" s="99"/>
      <c r="BT39" s="99"/>
      <c r="BU39" s="45"/>
      <c r="BV39" s="45"/>
      <c r="BW39" s="45"/>
      <c r="BX39" s="45"/>
      <c r="BY39" s="45"/>
      <c r="BZ39" s="177"/>
      <c r="CA39" s="177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>
        <v>0</v>
      </c>
      <c r="CO39" s="177">
        <v>0</v>
      </c>
      <c r="CP39" s="99">
        <f t="shared" si="6"/>
        <v>8</v>
      </c>
      <c r="CQ39" s="177">
        <v>0</v>
      </c>
      <c r="CR39" s="99">
        <v>1</v>
      </c>
      <c r="CS39" s="99"/>
      <c r="CT39" s="99">
        <v>-1</v>
      </c>
      <c r="CU39" s="99"/>
      <c r="CV39" s="45"/>
      <c r="CW39" s="45"/>
      <c r="CX39" s="45"/>
      <c r="CY39" s="45"/>
      <c r="CZ39" s="45"/>
      <c r="DA39" s="45"/>
      <c r="DB39" s="45"/>
      <c r="DC39" s="177"/>
      <c r="DD39" s="177"/>
      <c r="DE39" s="177"/>
      <c r="DF39" s="177"/>
      <c r="DG39" s="177"/>
      <c r="DH39" s="177"/>
      <c r="DI39" s="177"/>
      <c r="DJ39" s="177"/>
      <c r="DK39" s="177"/>
      <c r="DL39" s="177"/>
      <c r="DM39" s="177"/>
      <c r="DN39" s="177"/>
      <c r="DO39" s="177"/>
      <c r="DP39" s="177"/>
      <c r="DQ39" s="177"/>
      <c r="DR39" s="177">
        <v>0</v>
      </c>
      <c r="DS39" s="99">
        <f t="shared" si="7"/>
        <v>0</v>
      </c>
      <c r="DT39" s="177">
        <v>0</v>
      </c>
      <c r="DU39" s="46">
        <f t="shared" si="14"/>
        <v>8</v>
      </c>
      <c r="DV39" s="97">
        <f t="shared" si="15"/>
        <v>0</v>
      </c>
    </row>
    <row r="40" spans="1:126" ht="16.5" customHeight="1" x14ac:dyDescent="0.25">
      <c r="A40" s="70" t="s">
        <v>190</v>
      </c>
      <c r="B40" s="44"/>
      <c r="C40" s="175"/>
      <c r="D40" s="100"/>
      <c r="E40" s="99"/>
      <c r="F40" s="99"/>
      <c r="G40" s="99"/>
      <c r="H40" s="99"/>
      <c r="I40" s="99"/>
      <c r="J40" s="45"/>
      <c r="K40" s="45"/>
      <c r="L40" s="45"/>
      <c r="M40" s="45">
        <v>2</v>
      </c>
      <c r="N40" s="45">
        <v>2</v>
      </c>
      <c r="O40" s="45"/>
      <c r="P40" s="177">
        <v>4</v>
      </c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>
        <v>0</v>
      </c>
      <c r="AD40" s="177">
        <v>0</v>
      </c>
      <c r="AE40" s="99">
        <f t="shared" si="2"/>
        <v>8</v>
      </c>
      <c r="AF40" s="177">
        <v>0</v>
      </c>
      <c r="AG40" s="99"/>
      <c r="AH40" s="99"/>
      <c r="AI40" s="99"/>
      <c r="AJ40" s="99"/>
      <c r="AK40" s="99"/>
      <c r="AL40" s="45"/>
      <c r="AM40" s="45"/>
      <c r="AN40" s="45"/>
      <c r="AO40" s="45"/>
      <c r="AP40" s="45"/>
      <c r="AQ40" s="45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00">
        <f t="shared" si="3"/>
        <v>0</v>
      </c>
      <c r="BI40" s="177">
        <v>0</v>
      </c>
      <c r="BJ40" s="46">
        <f t="shared" si="16"/>
        <v>8</v>
      </c>
      <c r="BK40" s="97">
        <f t="shared" si="11"/>
        <v>0</v>
      </c>
      <c r="BL40" s="70" t="s">
        <v>154</v>
      </c>
      <c r="BM40" s="44"/>
      <c r="BN40" s="175"/>
      <c r="BO40" s="100">
        <v>6</v>
      </c>
      <c r="BP40" s="99"/>
      <c r="BQ40" s="99">
        <v>3</v>
      </c>
      <c r="BR40" s="99">
        <v>1</v>
      </c>
      <c r="BS40" s="99"/>
      <c r="BT40" s="99"/>
      <c r="BU40" s="45"/>
      <c r="BV40" s="45"/>
      <c r="BW40" s="45"/>
      <c r="BX40" s="45"/>
      <c r="BY40" s="45">
        <v>2</v>
      </c>
      <c r="BZ40" s="177"/>
      <c r="CA40" s="177">
        <v>2</v>
      </c>
      <c r="CB40" s="177"/>
      <c r="CC40" s="177">
        <v>2</v>
      </c>
      <c r="CD40" s="177">
        <v>2</v>
      </c>
      <c r="CE40" s="177"/>
      <c r="CF40" s="177">
        <v>1</v>
      </c>
      <c r="CG40" s="177"/>
      <c r="CH40" s="177"/>
      <c r="CI40" s="177"/>
      <c r="CJ40" s="177"/>
      <c r="CK40" s="177"/>
      <c r="CL40" s="177"/>
      <c r="CM40" s="177">
        <v>1</v>
      </c>
      <c r="CN40" s="177">
        <v>0</v>
      </c>
      <c r="CO40" s="177">
        <v>0</v>
      </c>
      <c r="CP40" s="99">
        <f t="shared" si="6"/>
        <v>20</v>
      </c>
      <c r="CQ40" s="177">
        <v>9</v>
      </c>
      <c r="CR40" s="99">
        <v>3</v>
      </c>
      <c r="CS40" s="99"/>
      <c r="CT40" s="99">
        <v>-3</v>
      </c>
      <c r="CU40" s="99"/>
      <c r="CV40" s="45"/>
      <c r="CW40" s="45"/>
      <c r="CX40" s="45"/>
      <c r="CY40" s="45"/>
      <c r="CZ40" s="45"/>
      <c r="DA40" s="45"/>
      <c r="DB40" s="45"/>
      <c r="DC40" s="177"/>
      <c r="DD40" s="177"/>
      <c r="DE40" s="177"/>
      <c r="DF40" s="177"/>
      <c r="DG40" s="177"/>
      <c r="DH40" s="177"/>
      <c r="DI40" s="177"/>
      <c r="DJ40" s="177"/>
      <c r="DK40" s="177"/>
      <c r="DL40" s="177"/>
      <c r="DM40" s="177"/>
      <c r="DN40" s="177"/>
      <c r="DO40" s="177"/>
      <c r="DP40" s="177"/>
      <c r="DQ40" s="177"/>
      <c r="DR40" s="177">
        <v>0</v>
      </c>
      <c r="DS40" s="99">
        <f t="shared" si="7"/>
        <v>0</v>
      </c>
      <c r="DT40" s="177">
        <v>0</v>
      </c>
      <c r="DU40" s="46">
        <f t="shared" si="14"/>
        <v>29</v>
      </c>
      <c r="DV40" s="97">
        <f t="shared" si="15"/>
        <v>0</v>
      </c>
    </row>
    <row r="41" spans="1:126" ht="16.5" customHeight="1" x14ac:dyDescent="0.25">
      <c r="A41" s="70" t="s">
        <v>155</v>
      </c>
      <c r="B41" s="44"/>
      <c r="C41" s="175"/>
      <c r="D41" s="100">
        <v>4</v>
      </c>
      <c r="E41" s="99"/>
      <c r="F41" s="99"/>
      <c r="G41" s="99"/>
      <c r="H41" s="99">
        <v>1</v>
      </c>
      <c r="I41" s="99"/>
      <c r="J41" s="45"/>
      <c r="K41" s="45">
        <v>1</v>
      </c>
      <c r="L41" s="45"/>
      <c r="M41" s="45">
        <v>6</v>
      </c>
      <c r="N41" s="45">
        <v>1</v>
      </c>
      <c r="O41" s="45">
        <v>1</v>
      </c>
      <c r="P41" s="177"/>
      <c r="Q41" s="177"/>
      <c r="R41" s="177"/>
      <c r="S41" s="177"/>
      <c r="T41" s="177"/>
      <c r="U41" s="177">
        <v>2</v>
      </c>
      <c r="V41" s="177">
        <v>4</v>
      </c>
      <c r="W41" s="177"/>
      <c r="X41" s="177"/>
      <c r="Y41" s="177"/>
      <c r="Z41" s="177">
        <v>1</v>
      </c>
      <c r="AA41" s="222">
        <f>1-1</f>
        <v>0</v>
      </c>
      <c r="AB41" s="177">
        <v>15</v>
      </c>
      <c r="AC41" s="177">
        <v>0</v>
      </c>
      <c r="AD41" s="177">
        <v>0</v>
      </c>
      <c r="AE41" s="99">
        <f t="shared" si="2"/>
        <v>36</v>
      </c>
      <c r="AF41" s="177">
        <v>2</v>
      </c>
      <c r="AG41" s="99"/>
      <c r="AH41" s="99"/>
      <c r="AI41" s="99"/>
      <c r="AJ41" s="99"/>
      <c r="AK41" s="99"/>
      <c r="AL41" s="45"/>
      <c r="AM41" s="45"/>
      <c r="AN41" s="45"/>
      <c r="AO41" s="45"/>
      <c r="AP41" s="45"/>
      <c r="AQ41" s="45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00">
        <f t="shared" si="3"/>
        <v>0</v>
      </c>
      <c r="BI41" s="177">
        <v>0</v>
      </c>
      <c r="BJ41" s="46">
        <f t="shared" si="16"/>
        <v>38</v>
      </c>
      <c r="BK41" s="97">
        <f t="shared" si="11"/>
        <v>0</v>
      </c>
      <c r="BL41" s="70" t="s">
        <v>221</v>
      </c>
      <c r="BM41" s="44"/>
      <c r="BN41" s="175"/>
      <c r="BO41" s="100"/>
      <c r="BP41" s="99"/>
      <c r="BQ41" s="99"/>
      <c r="BR41" s="99"/>
      <c r="BS41" s="99"/>
      <c r="BT41" s="99"/>
      <c r="BU41" s="45"/>
      <c r="BV41" s="45"/>
      <c r="BW41" s="45"/>
      <c r="BX41" s="45"/>
      <c r="BY41" s="45"/>
      <c r="BZ41" s="177"/>
      <c r="CA41" s="177"/>
      <c r="CB41" s="177"/>
      <c r="CC41" s="177"/>
      <c r="CD41" s="177"/>
      <c r="CE41" s="177"/>
      <c r="CF41" s="177"/>
      <c r="CG41" s="177"/>
      <c r="CH41" s="177"/>
      <c r="CI41" s="177"/>
      <c r="CJ41" s="177"/>
      <c r="CK41" s="177">
        <v>0</v>
      </c>
      <c r="CL41" s="177">
        <v>8</v>
      </c>
      <c r="CM41" s="177"/>
      <c r="CN41" s="177">
        <v>3</v>
      </c>
      <c r="CO41" s="177">
        <v>0</v>
      </c>
      <c r="CP41" s="99">
        <f t="shared" si="6"/>
        <v>11</v>
      </c>
      <c r="CQ41" s="177">
        <v>0</v>
      </c>
      <c r="CR41" s="99"/>
      <c r="CS41" s="99"/>
      <c r="CT41" s="99"/>
      <c r="CU41" s="99"/>
      <c r="CV41" s="45"/>
      <c r="CW41" s="45"/>
      <c r="CX41" s="45"/>
      <c r="CY41" s="45"/>
      <c r="CZ41" s="45"/>
      <c r="DA41" s="45"/>
      <c r="DB41" s="45"/>
      <c r="DC41" s="177"/>
      <c r="DD41" s="177"/>
      <c r="DE41" s="177"/>
      <c r="DF41" s="177"/>
      <c r="DG41" s="177"/>
      <c r="DH41" s="177"/>
      <c r="DI41" s="177"/>
      <c r="DJ41" s="177"/>
      <c r="DK41" s="177"/>
      <c r="DL41" s="177"/>
      <c r="DM41" s="177"/>
      <c r="DN41" s="177"/>
      <c r="DO41" s="177"/>
      <c r="DP41" s="177"/>
      <c r="DQ41" s="177"/>
      <c r="DR41" s="177">
        <v>0</v>
      </c>
      <c r="DS41" s="99">
        <f t="shared" si="7"/>
        <v>0</v>
      </c>
      <c r="DT41" s="177">
        <v>0</v>
      </c>
      <c r="DU41" s="46">
        <f t="shared" si="14"/>
        <v>11</v>
      </c>
      <c r="DV41" s="97">
        <f t="shared" si="15"/>
        <v>0</v>
      </c>
    </row>
    <row r="42" spans="1:126" ht="16.5" customHeight="1" x14ac:dyDescent="0.25">
      <c r="A42" s="70" t="s">
        <v>185</v>
      </c>
      <c r="B42" s="44"/>
      <c r="C42" s="175"/>
      <c r="D42" s="100"/>
      <c r="E42" s="99"/>
      <c r="F42" s="99"/>
      <c r="G42" s="99"/>
      <c r="H42" s="99"/>
      <c r="I42" s="99"/>
      <c r="J42" s="45"/>
      <c r="K42" s="45">
        <v>1</v>
      </c>
      <c r="L42" s="45"/>
      <c r="M42" s="45"/>
      <c r="N42" s="45"/>
      <c r="O42" s="45"/>
      <c r="P42" s="177"/>
      <c r="Q42" s="177"/>
      <c r="R42" s="177"/>
      <c r="S42" s="177">
        <v>2</v>
      </c>
      <c r="T42" s="177"/>
      <c r="U42" s="177"/>
      <c r="V42" s="177"/>
      <c r="W42" s="177"/>
      <c r="X42" s="177"/>
      <c r="Y42" s="177"/>
      <c r="Z42" s="177"/>
      <c r="AA42" s="177"/>
      <c r="AB42" s="177"/>
      <c r="AC42" s="177">
        <v>0</v>
      </c>
      <c r="AD42" s="177">
        <v>0</v>
      </c>
      <c r="AE42" s="99">
        <f t="shared" si="2"/>
        <v>3</v>
      </c>
      <c r="AF42" s="177">
        <v>0</v>
      </c>
      <c r="AG42" s="99">
        <v>1</v>
      </c>
      <c r="AH42" s="99"/>
      <c r="AI42" s="99">
        <v>-1</v>
      </c>
      <c r="AJ42" s="99"/>
      <c r="AK42" s="99"/>
      <c r="AL42" s="45"/>
      <c r="AM42" s="45"/>
      <c r="AN42" s="45"/>
      <c r="AO42" s="45"/>
      <c r="AP42" s="45"/>
      <c r="AQ42" s="45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7"/>
      <c r="BE42" s="177"/>
      <c r="BF42" s="177"/>
      <c r="BG42" s="177"/>
      <c r="BH42" s="100">
        <f t="shared" si="3"/>
        <v>0</v>
      </c>
      <c r="BI42" s="177">
        <v>0</v>
      </c>
      <c r="BJ42" s="46">
        <f>+C42+AE42+AF42</f>
        <v>3</v>
      </c>
      <c r="BK42" s="97">
        <f t="shared" si="11"/>
        <v>0</v>
      </c>
      <c r="BL42" s="70" t="s">
        <v>158</v>
      </c>
      <c r="BM42" s="44"/>
      <c r="BN42" s="175"/>
      <c r="BO42" s="100">
        <v>15</v>
      </c>
      <c r="BP42" s="99">
        <v>2</v>
      </c>
      <c r="BQ42" s="99"/>
      <c r="BR42" s="99"/>
      <c r="BS42" s="99"/>
      <c r="BT42" s="99"/>
      <c r="BU42" s="45">
        <v>1</v>
      </c>
      <c r="BV42" s="45"/>
      <c r="BW42" s="45">
        <v>2</v>
      </c>
      <c r="BX42" s="45">
        <v>1</v>
      </c>
      <c r="BY42" s="45"/>
      <c r="BZ42" s="177">
        <v>2</v>
      </c>
      <c r="CA42" s="177">
        <v>9</v>
      </c>
      <c r="CB42" s="177">
        <v>2</v>
      </c>
      <c r="CC42" s="177">
        <v>1</v>
      </c>
      <c r="CD42" s="177">
        <v>1</v>
      </c>
      <c r="CE42" s="177"/>
      <c r="CF42" s="177"/>
      <c r="CG42" s="177">
        <v>1</v>
      </c>
      <c r="CH42" s="177"/>
      <c r="CI42" s="177">
        <v>6</v>
      </c>
      <c r="CJ42" s="177"/>
      <c r="CK42" s="177">
        <v>1</v>
      </c>
      <c r="CL42" s="177">
        <v>3</v>
      </c>
      <c r="CM42" s="177"/>
      <c r="CN42" s="222">
        <f>133-5</f>
        <v>128</v>
      </c>
      <c r="CO42" s="222">
        <f>8-1</f>
        <v>7</v>
      </c>
      <c r="CP42" s="99">
        <f t="shared" si="6"/>
        <v>182</v>
      </c>
      <c r="CQ42" s="177">
        <v>3</v>
      </c>
      <c r="CR42" s="99"/>
      <c r="CS42" s="99"/>
      <c r="CT42" s="99"/>
      <c r="CU42" s="99"/>
      <c r="CV42" s="45"/>
      <c r="CW42" s="45"/>
      <c r="CX42" s="45"/>
      <c r="CY42" s="45"/>
      <c r="CZ42" s="45"/>
      <c r="DA42" s="45"/>
      <c r="DB42" s="45"/>
      <c r="DC42" s="177"/>
      <c r="DD42" s="177"/>
      <c r="DE42" s="177"/>
      <c r="DF42" s="177"/>
      <c r="DG42" s="177"/>
      <c r="DH42" s="177"/>
      <c r="DI42" s="177"/>
      <c r="DJ42" s="177"/>
      <c r="DK42" s="177"/>
      <c r="DL42" s="177"/>
      <c r="DM42" s="177"/>
      <c r="DN42" s="177"/>
      <c r="DO42" s="177"/>
      <c r="DP42" s="177"/>
      <c r="DQ42" s="177">
        <v>1</v>
      </c>
      <c r="DR42" s="177">
        <v>0</v>
      </c>
      <c r="DS42" s="99">
        <f t="shared" si="7"/>
        <v>1</v>
      </c>
      <c r="DT42" s="177">
        <v>0</v>
      </c>
      <c r="DU42" s="46">
        <f t="shared" si="14"/>
        <v>185</v>
      </c>
      <c r="DV42" s="97">
        <f t="shared" si="15"/>
        <v>1</v>
      </c>
    </row>
    <row r="43" spans="1:126" ht="16.5" customHeight="1" x14ac:dyDescent="0.25">
      <c r="A43" s="70" t="s">
        <v>157</v>
      </c>
      <c r="B43" s="44"/>
      <c r="C43" s="175"/>
      <c r="D43" s="100">
        <v>4</v>
      </c>
      <c r="E43" s="99"/>
      <c r="F43" s="99">
        <v>1</v>
      </c>
      <c r="G43" s="99"/>
      <c r="H43" s="99"/>
      <c r="I43" s="99"/>
      <c r="J43" s="45">
        <v>1</v>
      </c>
      <c r="K43" s="45"/>
      <c r="L43" s="45"/>
      <c r="M43" s="45"/>
      <c r="N43" s="45"/>
      <c r="O43" s="45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>
        <v>0</v>
      </c>
      <c r="AD43" s="177">
        <v>0</v>
      </c>
      <c r="AE43" s="99">
        <f t="shared" si="2"/>
        <v>6</v>
      </c>
      <c r="AF43" s="177">
        <v>0</v>
      </c>
      <c r="AG43" s="99">
        <v>1</v>
      </c>
      <c r="AH43" s="99"/>
      <c r="AI43" s="99">
        <v>-1</v>
      </c>
      <c r="AJ43" s="99"/>
      <c r="AK43" s="99"/>
      <c r="AL43" s="45"/>
      <c r="AM43" s="45"/>
      <c r="AN43" s="45"/>
      <c r="AO43" s="45"/>
      <c r="AP43" s="45"/>
      <c r="AQ43" s="45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00">
        <f t="shared" si="3"/>
        <v>0</v>
      </c>
      <c r="BI43" s="177">
        <v>0</v>
      </c>
      <c r="BJ43" s="46">
        <f>+C43+AE43+AF43</f>
        <v>6</v>
      </c>
      <c r="BK43" s="97">
        <f t="shared" si="11"/>
        <v>0</v>
      </c>
      <c r="BL43" s="70" t="s">
        <v>160</v>
      </c>
      <c r="BM43" s="52"/>
      <c r="BN43" s="175"/>
      <c r="BO43" s="100">
        <v>1</v>
      </c>
      <c r="BP43" s="99"/>
      <c r="BQ43" s="99">
        <v>5</v>
      </c>
      <c r="BR43" s="99"/>
      <c r="BS43" s="99">
        <v>1</v>
      </c>
      <c r="BT43" s="99"/>
      <c r="BU43" s="45"/>
      <c r="BV43" s="45"/>
      <c r="BW43" s="45"/>
      <c r="BX43" s="45"/>
      <c r="BY43" s="45"/>
      <c r="BZ43" s="177"/>
      <c r="CA43" s="177"/>
      <c r="CB43" s="177">
        <v>1</v>
      </c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7">
        <v>0</v>
      </c>
      <c r="CO43" s="177">
        <v>0</v>
      </c>
      <c r="CP43" s="99">
        <f t="shared" si="6"/>
        <v>8</v>
      </c>
      <c r="CQ43" s="177">
        <v>0</v>
      </c>
      <c r="CR43" s="99">
        <v>5</v>
      </c>
      <c r="CS43" s="99"/>
      <c r="CT43" s="99">
        <v>-5</v>
      </c>
      <c r="CU43" s="99"/>
      <c r="CV43" s="45"/>
      <c r="CW43" s="45"/>
      <c r="CX43" s="45"/>
      <c r="CY43" s="45"/>
      <c r="CZ43" s="45"/>
      <c r="DA43" s="45"/>
      <c r="DB43" s="45"/>
      <c r="DC43" s="177"/>
      <c r="DD43" s="177"/>
      <c r="DE43" s="177"/>
      <c r="DF43" s="177"/>
      <c r="DG43" s="177"/>
      <c r="DH43" s="177"/>
      <c r="DI43" s="177"/>
      <c r="DJ43" s="177"/>
      <c r="DK43" s="177"/>
      <c r="DL43" s="177"/>
      <c r="DM43" s="177"/>
      <c r="DN43" s="177"/>
      <c r="DO43" s="177"/>
      <c r="DP43" s="177"/>
      <c r="DQ43" s="177"/>
      <c r="DR43" s="177">
        <v>0</v>
      </c>
      <c r="DS43" s="99">
        <f t="shared" si="7"/>
        <v>0</v>
      </c>
      <c r="DT43" s="177">
        <v>0</v>
      </c>
      <c r="DU43" s="46">
        <f t="shared" si="14"/>
        <v>8</v>
      </c>
      <c r="DV43" s="97">
        <f t="shared" si="15"/>
        <v>0</v>
      </c>
    </row>
    <row r="44" spans="1:126" ht="16.5" customHeight="1" x14ac:dyDescent="0.25">
      <c r="A44" s="180" t="s">
        <v>159</v>
      </c>
      <c r="B44" s="52"/>
      <c r="C44" s="175"/>
      <c r="D44" s="99">
        <v>536</v>
      </c>
      <c r="E44" s="115">
        <v>114</v>
      </c>
      <c r="F44" s="115">
        <v>7</v>
      </c>
      <c r="G44" s="115">
        <f>189-5</f>
        <v>184</v>
      </c>
      <c r="H44" s="115">
        <f>279-2</f>
        <v>277</v>
      </c>
      <c r="I44" s="99">
        <f>263-21</f>
        <v>242</v>
      </c>
      <c r="J44" s="100">
        <v>230</v>
      </c>
      <c r="K44" s="100">
        <f>378-9</f>
        <v>369</v>
      </c>
      <c r="L44" s="100">
        <f>677-15</f>
        <v>662</v>
      </c>
      <c r="M44" s="45">
        <f>478-6</f>
        <v>472</v>
      </c>
      <c r="N44" s="45">
        <f>818-9+3</f>
        <v>812</v>
      </c>
      <c r="O44" s="45">
        <f>869-30</f>
        <v>839</v>
      </c>
      <c r="P44" s="222">
        <f>676-30</f>
        <v>646</v>
      </c>
      <c r="Q44" s="222">
        <f>693-10</f>
        <v>683</v>
      </c>
      <c r="R44" s="222">
        <f>503-7</f>
        <v>496</v>
      </c>
      <c r="S44" s="222">
        <f>616-14</f>
        <v>602</v>
      </c>
      <c r="T44" s="222">
        <f>433-35</f>
        <v>398</v>
      </c>
      <c r="U44" s="222">
        <f>621-17</f>
        <v>604</v>
      </c>
      <c r="V44" s="222">
        <f>355-14</f>
        <v>341</v>
      </c>
      <c r="W44" s="222">
        <f>313-6</f>
        <v>307</v>
      </c>
      <c r="X44" s="222">
        <f>351-2</f>
        <v>349</v>
      </c>
      <c r="Y44" s="222">
        <f>76-3</f>
        <v>73</v>
      </c>
      <c r="Z44" s="177">
        <v>532</v>
      </c>
      <c r="AA44" s="222">
        <f>903-7</f>
        <v>896</v>
      </c>
      <c r="AB44" s="222">
        <f>219-8</f>
        <v>211</v>
      </c>
      <c r="AC44" s="222">
        <f>271-75</f>
        <v>196</v>
      </c>
      <c r="AD44" s="177">
        <v>511</v>
      </c>
      <c r="AE44" s="99">
        <f t="shared" si="2"/>
        <v>11589</v>
      </c>
      <c r="AF44" s="177">
        <v>386</v>
      </c>
      <c r="AG44" s="99">
        <v>7</v>
      </c>
      <c r="AH44" s="99"/>
      <c r="AI44" s="99">
        <v>-7</v>
      </c>
      <c r="AJ44" s="99">
        <v>4</v>
      </c>
      <c r="AK44" s="99"/>
      <c r="AL44" s="99"/>
      <c r="AM44" s="99"/>
      <c r="AN44" s="99">
        <v>1</v>
      </c>
      <c r="AO44" s="99">
        <v>9</v>
      </c>
      <c r="AP44" s="45">
        <v>15</v>
      </c>
      <c r="AQ44" s="45">
        <v>20</v>
      </c>
      <c r="AR44" s="177">
        <v>21</v>
      </c>
      <c r="AS44" s="177">
        <v>14</v>
      </c>
      <c r="AT44" s="177">
        <v>9</v>
      </c>
      <c r="AU44" s="177">
        <v>14</v>
      </c>
      <c r="AV44" s="177">
        <v>7</v>
      </c>
      <c r="AW44" s="177">
        <v>17</v>
      </c>
      <c r="AX44" s="177">
        <v>8</v>
      </c>
      <c r="AY44" s="177">
        <v>1</v>
      </c>
      <c r="AZ44" s="177"/>
      <c r="BA44" s="177">
        <v>1</v>
      </c>
      <c r="BB44" s="177"/>
      <c r="BC44" s="177">
        <v>4</v>
      </c>
      <c r="BD44" s="177">
        <v>1</v>
      </c>
      <c r="BE44" s="177"/>
      <c r="BF44" s="177"/>
      <c r="BG44" s="177"/>
      <c r="BH44" s="100">
        <f t="shared" si="3"/>
        <v>146</v>
      </c>
      <c r="BI44" s="177">
        <v>2</v>
      </c>
      <c r="BJ44" s="46">
        <f>+C44+AE44+AF44</f>
        <v>11975</v>
      </c>
      <c r="BK44" s="97">
        <f t="shared" si="11"/>
        <v>148</v>
      </c>
      <c r="BL44" s="70" t="s">
        <v>162</v>
      </c>
      <c r="BM44" s="52"/>
      <c r="BN44" s="176"/>
      <c r="BO44" s="114">
        <v>1</v>
      </c>
      <c r="BP44" s="45">
        <v>2</v>
      </c>
      <c r="BQ44" s="45">
        <v>2</v>
      </c>
      <c r="BR44" s="45"/>
      <c r="BS44" s="45"/>
      <c r="BT44" s="45"/>
      <c r="BU44" s="45"/>
      <c r="BV44" s="45"/>
      <c r="BW44" s="45"/>
      <c r="BX44" s="45"/>
      <c r="BY44" s="45"/>
      <c r="BZ44" s="177"/>
      <c r="CA44" s="177"/>
      <c r="CB44" s="177"/>
      <c r="CC44" s="177"/>
      <c r="CD44" s="177"/>
      <c r="CE44" s="177"/>
      <c r="CF44" s="177"/>
      <c r="CG44" s="177"/>
      <c r="CH44" s="177"/>
      <c r="CI44" s="177"/>
      <c r="CJ44" s="177"/>
      <c r="CK44" s="177"/>
      <c r="CL44" s="177"/>
      <c r="CM44" s="177"/>
      <c r="CN44" s="177">
        <v>0</v>
      </c>
      <c r="CO44" s="177">
        <v>0</v>
      </c>
      <c r="CP44" s="99">
        <f t="shared" si="6"/>
        <v>5</v>
      </c>
      <c r="CQ44" s="177">
        <v>0</v>
      </c>
      <c r="CR44" s="99"/>
      <c r="CS44" s="99">
        <v>2</v>
      </c>
      <c r="CT44" s="99">
        <v>-2</v>
      </c>
      <c r="CU44" s="99"/>
      <c r="CV44" s="99"/>
      <c r="CW44" s="99"/>
      <c r="CX44" s="99"/>
      <c r="CY44" s="99"/>
      <c r="CZ44" s="99"/>
      <c r="DA44" s="45"/>
      <c r="DB44" s="45"/>
      <c r="DC44" s="177"/>
      <c r="DD44" s="177"/>
      <c r="DE44" s="177"/>
      <c r="DF44" s="177"/>
      <c r="DG44" s="177"/>
      <c r="DH44" s="177"/>
      <c r="DI44" s="177"/>
      <c r="DJ44" s="177"/>
      <c r="DK44" s="177"/>
      <c r="DL44" s="177"/>
      <c r="DM44" s="177"/>
      <c r="DN44" s="177"/>
      <c r="DO44" s="177"/>
      <c r="DP44" s="177"/>
      <c r="DQ44" s="177"/>
      <c r="DR44" s="177">
        <v>0</v>
      </c>
      <c r="DS44" s="99">
        <f>SUM(CR44:DQ44)</f>
        <v>0</v>
      </c>
      <c r="DT44" s="177">
        <v>0</v>
      </c>
      <c r="DU44" s="46">
        <f t="shared" si="14"/>
        <v>5</v>
      </c>
      <c r="DV44" s="97">
        <f t="shared" si="15"/>
        <v>0</v>
      </c>
    </row>
    <row r="45" spans="1:126" ht="14.4" thickBot="1" x14ac:dyDescent="0.3">
      <c r="A45" s="75" t="s">
        <v>112</v>
      </c>
      <c r="B45" s="57"/>
      <c r="C45" s="116">
        <f t="shared" ref="C45:AJ45" si="17">SUM(C4:C44)</f>
        <v>0</v>
      </c>
      <c r="D45" s="116">
        <f t="shared" si="17"/>
        <v>1399</v>
      </c>
      <c r="E45" s="116">
        <f t="shared" si="17"/>
        <v>129</v>
      </c>
      <c r="F45" s="116">
        <f t="shared" si="17"/>
        <v>27</v>
      </c>
      <c r="G45" s="116">
        <f t="shared" si="17"/>
        <v>204</v>
      </c>
      <c r="H45" s="116">
        <f t="shared" si="17"/>
        <v>346</v>
      </c>
      <c r="I45" s="116">
        <f t="shared" si="17"/>
        <v>402</v>
      </c>
      <c r="J45" s="116">
        <f t="shared" si="17"/>
        <v>295</v>
      </c>
      <c r="K45" s="116">
        <f t="shared" si="17"/>
        <v>571</v>
      </c>
      <c r="L45" s="116">
        <f t="shared" si="17"/>
        <v>747</v>
      </c>
      <c r="M45" s="116">
        <f t="shared" si="17"/>
        <v>567</v>
      </c>
      <c r="N45" s="116">
        <f t="shared" si="17"/>
        <v>969</v>
      </c>
      <c r="O45" s="116">
        <f t="shared" si="17"/>
        <v>997</v>
      </c>
      <c r="P45" s="116">
        <f t="shared" si="17"/>
        <v>969</v>
      </c>
      <c r="Q45" s="116">
        <f t="shared" si="17"/>
        <v>1025</v>
      </c>
      <c r="R45" s="116">
        <f t="shared" si="17"/>
        <v>784</v>
      </c>
      <c r="S45" s="116">
        <f t="shared" si="17"/>
        <v>853</v>
      </c>
      <c r="T45" s="116">
        <f t="shared" si="17"/>
        <v>736</v>
      </c>
      <c r="U45" s="116">
        <f t="shared" si="17"/>
        <v>666</v>
      </c>
      <c r="V45" s="116">
        <f t="shared" si="17"/>
        <v>569</v>
      </c>
      <c r="W45" s="116">
        <f t="shared" si="17"/>
        <v>364</v>
      </c>
      <c r="X45" s="116">
        <f t="shared" si="17"/>
        <v>488</v>
      </c>
      <c r="Y45" s="116">
        <f t="shared" si="17"/>
        <v>631</v>
      </c>
      <c r="Z45" s="116">
        <f t="shared" si="17"/>
        <v>1093</v>
      </c>
      <c r="AA45" s="116">
        <f t="shared" si="17"/>
        <v>1599</v>
      </c>
      <c r="AB45" s="116">
        <f t="shared" ref="AB45" si="18">SUM(AB4:AB44)</f>
        <v>1029</v>
      </c>
      <c r="AC45" s="116">
        <f t="shared" si="17"/>
        <v>1027</v>
      </c>
      <c r="AD45" s="116">
        <f t="shared" ref="AD45" si="19">SUM(AD4:AD44)</f>
        <v>1669</v>
      </c>
      <c r="AE45" s="116">
        <f t="shared" si="17"/>
        <v>20155</v>
      </c>
      <c r="AF45" s="116">
        <f t="shared" si="17"/>
        <v>1275</v>
      </c>
      <c r="AG45" s="116">
        <f t="shared" si="17"/>
        <v>28</v>
      </c>
      <c r="AH45" s="116">
        <f t="shared" si="17"/>
        <v>0</v>
      </c>
      <c r="AI45" s="116">
        <f t="shared" si="17"/>
        <v>-28</v>
      </c>
      <c r="AJ45" s="116">
        <f t="shared" si="17"/>
        <v>5</v>
      </c>
      <c r="AK45" s="116">
        <f t="shared" ref="AK45:BK45" si="20">SUM(AK4:AK44)</f>
        <v>0</v>
      </c>
      <c r="AL45" s="116">
        <f t="shared" si="20"/>
        <v>0</v>
      </c>
      <c r="AM45" s="116">
        <f t="shared" si="20"/>
        <v>0</v>
      </c>
      <c r="AN45" s="116">
        <f t="shared" si="20"/>
        <v>13</v>
      </c>
      <c r="AO45" s="116">
        <f t="shared" si="20"/>
        <v>9</v>
      </c>
      <c r="AP45" s="116">
        <f t="shared" si="20"/>
        <v>15</v>
      </c>
      <c r="AQ45" s="116">
        <f t="shared" si="20"/>
        <v>20</v>
      </c>
      <c r="AR45" s="116">
        <f t="shared" si="20"/>
        <v>25</v>
      </c>
      <c r="AS45" s="116">
        <f t="shared" si="20"/>
        <v>14</v>
      </c>
      <c r="AT45" s="116">
        <f t="shared" si="20"/>
        <v>9</v>
      </c>
      <c r="AU45" s="116">
        <f t="shared" si="20"/>
        <v>14</v>
      </c>
      <c r="AV45" s="116">
        <f t="shared" si="20"/>
        <v>8</v>
      </c>
      <c r="AW45" s="116">
        <f t="shared" si="20"/>
        <v>17</v>
      </c>
      <c r="AX45" s="116">
        <f t="shared" si="20"/>
        <v>8</v>
      </c>
      <c r="AY45" s="116">
        <f t="shared" si="20"/>
        <v>1</v>
      </c>
      <c r="AZ45" s="116">
        <f t="shared" si="20"/>
        <v>0</v>
      </c>
      <c r="BA45" s="116">
        <f t="shared" si="20"/>
        <v>1</v>
      </c>
      <c r="BB45" s="116">
        <f t="shared" si="20"/>
        <v>0</v>
      </c>
      <c r="BC45" s="116">
        <f t="shared" si="20"/>
        <v>8</v>
      </c>
      <c r="BD45" s="116">
        <f t="shared" si="20"/>
        <v>1</v>
      </c>
      <c r="BE45" s="116">
        <f t="shared" ref="BE45" si="21">SUM(BE4:BE44)</f>
        <v>0</v>
      </c>
      <c r="BF45" s="116">
        <f t="shared" si="20"/>
        <v>0</v>
      </c>
      <c r="BG45" s="116">
        <f t="shared" ref="BG45" si="22">SUM(BG4:BG44)</f>
        <v>3</v>
      </c>
      <c r="BH45" s="240">
        <f t="shared" si="20"/>
        <v>171</v>
      </c>
      <c r="BI45" s="116">
        <f t="shared" si="20"/>
        <v>2</v>
      </c>
      <c r="BJ45" s="116">
        <f t="shared" si="20"/>
        <v>21430</v>
      </c>
      <c r="BK45" s="238">
        <f t="shared" si="20"/>
        <v>173</v>
      </c>
      <c r="BL45" s="76"/>
      <c r="BM45" s="65" t="s">
        <v>103</v>
      </c>
      <c r="BN45" s="116">
        <f t="shared" ref="BN45:CU45" si="23">SUM(BN4:BN44)</f>
        <v>0</v>
      </c>
      <c r="BO45" s="116">
        <f t="shared" si="23"/>
        <v>1767</v>
      </c>
      <c r="BP45" s="116">
        <f t="shared" si="23"/>
        <v>152</v>
      </c>
      <c r="BQ45" s="116">
        <f t="shared" si="23"/>
        <v>52</v>
      </c>
      <c r="BR45" s="116">
        <f t="shared" si="23"/>
        <v>208</v>
      </c>
      <c r="BS45" s="116">
        <f t="shared" si="23"/>
        <v>457</v>
      </c>
      <c r="BT45" s="116">
        <f t="shared" si="23"/>
        <v>480</v>
      </c>
      <c r="BU45" s="116">
        <f t="shared" si="23"/>
        <v>305</v>
      </c>
      <c r="BV45" s="116">
        <f t="shared" si="23"/>
        <v>590</v>
      </c>
      <c r="BW45" s="116">
        <f t="shared" si="23"/>
        <v>775</v>
      </c>
      <c r="BX45" s="116">
        <f t="shared" si="23"/>
        <v>644</v>
      </c>
      <c r="BY45" s="116">
        <f t="shared" si="23"/>
        <v>1051</v>
      </c>
      <c r="BZ45" s="116">
        <f t="shared" si="23"/>
        <v>1078</v>
      </c>
      <c r="CA45" s="116">
        <f t="shared" si="23"/>
        <v>1042</v>
      </c>
      <c r="CB45" s="116">
        <f t="shared" si="23"/>
        <v>1081</v>
      </c>
      <c r="CC45" s="116">
        <f t="shared" si="23"/>
        <v>833</v>
      </c>
      <c r="CD45" s="116">
        <f t="shared" si="23"/>
        <v>868</v>
      </c>
      <c r="CE45" s="116">
        <f t="shared" si="23"/>
        <v>795</v>
      </c>
      <c r="CF45" s="116">
        <f t="shared" si="23"/>
        <v>736</v>
      </c>
      <c r="CG45" s="116">
        <f t="shared" si="23"/>
        <v>594</v>
      </c>
      <c r="CH45" s="116">
        <f t="shared" si="23"/>
        <v>540</v>
      </c>
      <c r="CI45" s="116">
        <f t="shared" si="23"/>
        <v>514</v>
      </c>
      <c r="CJ45" s="116">
        <f t="shared" si="23"/>
        <v>993</v>
      </c>
      <c r="CK45" s="116">
        <f t="shared" si="23"/>
        <v>1290</v>
      </c>
      <c r="CL45" s="116">
        <f t="shared" si="23"/>
        <v>1941</v>
      </c>
      <c r="CM45" s="116">
        <f t="shared" ref="CM45:CO45" si="24">SUM(CM4:CM44)</f>
        <v>1738</v>
      </c>
      <c r="CN45" s="116">
        <f t="shared" si="24"/>
        <v>1841</v>
      </c>
      <c r="CO45" s="116">
        <f t="shared" si="24"/>
        <v>1857</v>
      </c>
      <c r="CP45" s="116">
        <f t="shared" si="23"/>
        <v>24222</v>
      </c>
      <c r="CQ45" s="116">
        <f t="shared" si="23"/>
        <v>1356</v>
      </c>
      <c r="CR45" s="116">
        <f t="shared" si="23"/>
        <v>52</v>
      </c>
      <c r="CS45" s="116">
        <f t="shared" si="23"/>
        <v>4</v>
      </c>
      <c r="CT45" s="116">
        <f t="shared" si="23"/>
        <v>-55</v>
      </c>
      <c r="CU45" s="116">
        <f t="shared" si="23"/>
        <v>5</v>
      </c>
      <c r="CV45" s="116">
        <f t="shared" ref="CV45:DV45" si="25">SUM(CV4:CV44)</f>
        <v>0</v>
      </c>
      <c r="CW45" s="116">
        <f t="shared" si="25"/>
        <v>0</v>
      </c>
      <c r="CX45" s="116">
        <f t="shared" si="25"/>
        <v>0</v>
      </c>
      <c r="CY45" s="116">
        <f t="shared" si="25"/>
        <v>13</v>
      </c>
      <c r="CZ45" s="116">
        <f t="shared" si="25"/>
        <v>9</v>
      </c>
      <c r="DA45" s="116">
        <f t="shared" si="25"/>
        <v>15</v>
      </c>
      <c r="DB45" s="116">
        <f t="shared" si="25"/>
        <v>20</v>
      </c>
      <c r="DC45" s="116">
        <f t="shared" si="25"/>
        <v>25</v>
      </c>
      <c r="DD45" s="116">
        <f t="shared" si="25"/>
        <v>14</v>
      </c>
      <c r="DE45" s="116">
        <f t="shared" si="25"/>
        <v>9</v>
      </c>
      <c r="DF45" s="116">
        <f t="shared" si="25"/>
        <v>14</v>
      </c>
      <c r="DG45" s="116">
        <f t="shared" si="25"/>
        <v>8</v>
      </c>
      <c r="DH45" s="116">
        <f t="shared" si="25"/>
        <v>17</v>
      </c>
      <c r="DI45" s="116">
        <f t="shared" si="25"/>
        <v>11</v>
      </c>
      <c r="DJ45" s="116">
        <f t="shared" si="25"/>
        <v>1</v>
      </c>
      <c r="DK45" s="116">
        <f t="shared" si="25"/>
        <v>0</v>
      </c>
      <c r="DL45" s="116">
        <f t="shared" si="25"/>
        <v>1</v>
      </c>
      <c r="DM45" s="116">
        <f t="shared" si="25"/>
        <v>2</v>
      </c>
      <c r="DN45" s="116">
        <f t="shared" si="25"/>
        <v>8</v>
      </c>
      <c r="DO45" s="116">
        <f t="shared" si="25"/>
        <v>1</v>
      </c>
      <c r="DP45" s="116">
        <f t="shared" ref="DP45" si="26">SUM(DP4:DP44)</f>
        <v>0</v>
      </c>
      <c r="DQ45" s="116">
        <f t="shared" si="25"/>
        <v>1</v>
      </c>
      <c r="DR45" s="116">
        <f t="shared" ref="DR45" si="27">SUM(DR4:DR44)</f>
        <v>3</v>
      </c>
      <c r="DS45" s="116">
        <f t="shared" si="25"/>
        <v>178</v>
      </c>
      <c r="DT45" s="116">
        <f t="shared" si="25"/>
        <v>2</v>
      </c>
      <c r="DU45" s="116">
        <f t="shared" si="25"/>
        <v>25578</v>
      </c>
      <c r="DV45" s="239">
        <f t="shared" si="25"/>
        <v>180</v>
      </c>
    </row>
    <row r="46" spans="1:126" ht="13.8" thickBot="1" x14ac:dyDescent="0.3">
      <c r="A46" s="23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6" ht="13.8" thickBot="1" x14ac:dyDescent="0.3">
      <c r="A47" s="235"/>
      <c r="B47" s="236" t="s">
        <v>219</v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 s="108">
        <f>+DU45+DV45</f>
        <v>25758</v>
      </c>
      <c r="DV47" s="109"/>
    </row>
    <row r="48" spans="1:126" ht="12.75" customHeight="1" x14ac:dyDescent="0.25">
      <c r="A48" s="226"/>
      <c r="B48" s="201"/>
      <c r="C48" s="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x14ac:dyDescent="0.25">
      <c r="A49" s="215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ht="13.8" thickBo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ht="13.8" thickBot="1" x14ac:dyDescent="0.3">
      <c r="A51" s="198" t="s">
        <v>196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200"/>
      <c r="AT51" s="200"/>
      <c r="AU51" s="200"/>
      <c r="AV51" s="200"/>
      <c r="AW51" s="199"/>
      <c r="AX51" s="200"/>
      <c r="AY51" s="200"/>
      <c r="AZ51" s="200"/>
      <c r="BA51" s="200"/>
      <c r="BB51" s="200"/>
      <c r="BC51" s="199"/>
      <c r="BD51" s="199"/>
      <c r="BE51" s="199"/>
      <c r="BF51" s="199"/>
      <c r="BG51" s="199"/>
      <c r="BH51" s="241"/>
      <c r="BI51" s="200"/>
      <c r="BJ51"/>
      <c r="BK51"/>
      <c r="BL51" s="198" t="s">
        <v>195</v>
      </c>
      <c r="BM51" s="199"/>
      <c r="BN51" s="199"/>
      <c r="BO51" s="199"/>
      <c r="BP51" s="199"/>
      <c r="BQ51" s="199"/>
      <c r="BR51" s="199"/>
      <c r="BS51" s="199"/>
      <c r="BT51" s="199"/>
      <c r="BU51" s="199"/>
      <c r="BV51" s="199"/>
      <c r="BW51" s="199"/>
      <c r="BX51" s="199"/>
      <c r="BY51" s="199"/>
      <c r="BZ51" s="199"/>
      <c r="CA51" s="199"/>
      <c r="CB51" s="199"/>
      <c r="CC51" s="199"/>
      <c r="CD51" s="199"/>
      <c r="CE51" s="199"/>
      <c r="CF51" s="199"/>
      <c r="CG51" s="199"/>
      <c r="CH51" s="199"/>
      <c r="CI51" s="199"/>
      <c r="CJ51" s="199"/>
      <c r="CK51" s="199"/>
      <c r="CL51" s="199"/>
      <c r="CM51" s="199"/>
      <c r="CN51" s="199"/>
      <c r="CO51" s="199"/>
      <c r="CP51" s="199"/>
      <c r="CQ51" s="199"/>
      <c r="CR51" s="199"/>
      <c r="CS51" s="199"/>
      <c r="CT51" s="199"/>
      <c r="CU51" s="199"/>
      <c r="CV51" s="199"/>
      <c r="CW51" s="199"/>
      <c r="CX51" s="199"/>
      <c r="CY51" s="199"/>
      <c r="CZ51" s="199"/>
      <c r="DA51" s="199"/>
      <c r="DB51" s="199"/>
      <c r="DC51" s="199"/>
      <c r="DD51" s="200"/>
      <c r="DE51" s="200"/>
      <c r="DF51" s="200"/>
      <c r="DG51" s="200"/>
      <c r="DH51" s="199"/>
      <c r="DI51" s="200"/>
      <c r="DJ51" s="200"/>
      <c r="DK51" s="200"/>
      <c r="DL51" s="200"/>
      <c r="DM51" s="200"/>
      <c r="DN51" s="200"/>
      <c r="DO51" s="200"/>
      <c r="DP51" s="200"/>
      <c r="DQ51" s="200"/>
      <c r="DR51" s="199"/>
      <c r="DS51" s="199"/>
      <c r="DT51" s="200"/>
      <c r="DU51"/>
      <c r="DV51"/>
    </row>
    <row r="52" spans="1:126" x14ac:dyDescent="0.25">
      <c r="A52" s="196">
        <v>1</v>
      </c>
      <c r="B52" s="197" t="str">
        <f>VLOOKUP(A52,Ordreétrangersan,3,0)</f>
        <v>ESPAGNE</v>
      </c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252">
        <f>VLOOKUP(A52,Ordreétrangersan,5,0)</f>
        <v>427</v>
      </c>
      <c r="BG52" s="252"/>
      <c r="BH52" s="252"/>
      <c r="BI52" s="252"/>
      <c r="BJ52" s="252"/>
      <c r="BK52" s="253"/>
      <c r="BL52" s="196">
        <v>1</v>
      </c>
      <c r="BM52" s="197" t="str">
        <f>VLOOKUP(BL52,Ordreétrangerscum,2,0)</f>
        <v>ITALIE</v>
      </c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252">
        <f>VLOOKUP(BL52,Ordreétrangerscum,5,0)</f>
        <v>12123</v>
      </c>
      <c r="DT52" s="252"/>
      <c r="DU52" s="252"/>
      <c r="DV52" s="253"/>
    </row>
    <row r="53" spans="1:126" x14ac:dyDescent="0.25">
      <c r="A53" s="194">
        <v>2</v>
      </c>
      <c r="B53" s="192" t="str">
        <f>VLOOKUP(A53,Ordreétrangersan,3,0)</f>
        <v>ITALIE</v>
      </c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248">
        <f>VLOOKUP(A53,Ordreétrangersan,5,0)</f>
        <v>388</v>
      </c>
      <c r="BG53" s="248"/>
      <c r="BH53" s="248"/>
      <c r="BI53" s="248"/>
      <c r="BJ53" s="248"/>
      <c r="BK53" s="249"/>
      <c r="BL53" s="194">
        <v>2</v>
      </c>
      <c r="BM53" s="192" t="str">
        <f>VLOOKUP(BL53,Ordreétrangerscum,2,0)</f>
        <v>ESPAGNE</v>
      </c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248">
        <f>VLOOKUP(BL53,Ordreétrangerscum,5,0)</f>
        <v>3325</v>
      </c>
      <c r="DT53" s="248"/>
      <c r="DU53" s="248"/>
      <c r="DV53" s="249"/>
    </row>
    <row r="54" spans="1:126" x14ac:dyDescent="0.25">
      <c r="A54" s="194">
        <v>3</v>
      </c>
      <c r="B54" s="192" t="str">
        <f>VLOOKUP(A54,Ordreétrangersan,3,0)</f>
        <v>GRANDE-BRETAGNE</v>
      </c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248">
        <f>VLOOKUP(A54,Ordreétrangersan,5,0)</f>
        <v>195</v>
      </c>
      <c r="BG54" s="248"/>
      <c r="BH54" s="248"/>
      <c r="BI54" s="248"/>
      <c r="BJ54" s="248"/>
      <c r="BK54" s="249"/>
      <c r="BL54" s="194">
        <v>3</v>
      </c>
      <c r="BM54" s="192" t="str">
        <f>VLOOKUP(BL54,Ordreétrangerscum,2,0)</f>
        <v>ALLEMAGNE</v>
      </c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192"/>
      <c r="DS54" s="248">
        <f>VLOOKUP(BL54,Ordreétrangerscum,5,0)</f>
        <v>2166</v>
      </c>
      <c r="DT54" s="248"/>
      <c r="DU54" s="248"/>
      <c r="DV54" s="249"/>
    </row>
    <row r="55" spans="1:126" x14ac:dyDescent="0.25">
      <c r="A55" s="194">
        <v>4</v>
      </c>
      <c r="B55" s="192" t="str">
        <f>VLOOKUP(A55,Ordreétrangersan,3,0)</f>
        <v>ALLEMAGNE</v>
      </c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248">
        <f>VLOOKUP(A55,Ordreétrangersan,5,0)</f>
        <v>120</v>
      </c>
      <c r="BG55" s="248"/>
      <c r="BH55" s="248"/>
      <c r="BI55" s="248"/>
      <c r="BJ55" s="248"/>
      <c r="BK55" s="249"/>
      <c r="BL55" s="194">
        <v>4</v>
      </c>
      <c r="BM55" s="192" t="str">
        <f>VLOOKUP(BL55,Ordreétrangerscum,2,0)</f>
        <v>AUTRICHE</v>
      </c>
      <c r="BN55" s="192"/>
      <c r="BO55" s="192"/>
      <c r="BP55" s="192"/>
      <c r="BQ55" s="192"/>
      <c r="BR55" s="192"/>
      <c r="BS55" s="192"/>
      <c r="BT55" s="192"/>
      <c r="BU55" s="192"/>
      <c r="BV55" s="192"/>
      <c r="BW55" s="192"/>
      <c r="BX55" s="192"/>
      <c r="BY55" s="192"/>
      <c r="BZ55" s="192"/>
      <c r="CA55" s="192"/>
      <c r="CB55" s="192"/>
      <c r="CC55" s="192"/>
      <c r="CD55" s="192"/>
      <c r="CE55" s="192"/>
      <c r="CF55" s="192"/>
      <c r="CG55" s="192"/>
      <c r="CH55" s="192"/>
      <c r="CI55" s="192"/>
      <c r="CJ55" s="192"/>
      <c r="CK55" s="192"/>
      <c r="CL55" s="192"/>
      <c r="CM55" s="192"/>
      <c r="CN55" s="192"/>
      <c r="CO55" s="192"/>
      <c r="CP55" s="192"/>
      <c r="CQ55" s="192"/>
      <c r="CR55" s="192"/>
      <c r="CS55" s="192"/>
      <c r="CT55" s="192"/>
      <c r="CU55" s="192"/>
      <c r="CV55" s="192"/>
      <c r="CW55" s="192"/>
      <c r="CX55" s="192"/>
      <c r="CY55" s="192"/>
      <c r="CZ55" s="192"/>
      <c r="DA55" s="192"/>
      <c r="DB55" s="192"/>
      <c r="DC55" s="192"/>
      <c r="DD55" s="192"/>
      <c r="DE55" s="192"/>
      <c r="DF55" s="192"/>
      <c r="DG55" s="192"/>
      <c r="DH55" s="192"/>
      <c r="DI55" s="192"/>
      <c r="DJ55" s="192"/>
      <c r="DK55" s="192"/>
      <c r="DL55" s="192"/>
      <c r="DM55" s="192"/>
      <c r="DN55" s="192"/>
      <c r="DO55" s="192"/>
      <c r="DP55" s="192"/>
      <c r="DQ55" s="192"/>
      <c r="DR55" s="192"/>
      <c r="DS55" s="248">
        <f>VLOOKUP(BL55,Ordreétrangerscum,5,0)</f>
        <v>1849</v>
      </c>
      <c r="DT55" s="248"/>
      <c r="DU55" s="248"/>
      <c r="DV55" s="249"/>
    </row>
    <row r="56" spans="1:126" ht="13.8" thickBot="1" x14ac:dyDescent="0.3">
      <c r="A56" s="195">
        <v>5</v>
      </c>
      <c r="B56" s="193" t="str">
        <f>VLOOKUP(A56,Ordreétrangersan,3,0)</f>
        <v>HONGRIE</v>
      </c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250">
        <f>VLOOKUP(A56,Ordreétrangersan,5,0)</f>
        <v>64</v>
      </c>
      <c r="BG56" s="250"/>
      <c r="BH56" s="250"/>
      <c r="BI56" s="250"/>
      <c r="BJ56" s="250"/>
      <c r="BK56" s="251"/>
      <c r="BL56" s="195">
        <v>5</v>
      </c>
      <c r="BM56" s="193" t="str">
        <f>VLOOKUP(BL56,Ordreétrangerscum,2,0)</f>
        <v>TCHÉQUIE</v>
      </c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193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  <c r="CR56" s="193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  <c r="DC56" s="193"/>
      <c r="DD56" s="193"/>
      <c r="DE56" s="193"/>
      <c r="DF56" s="193"/>
      <c r="DG56" s="193"/>
      <c r="DH56" s="193"/>
      <c r="DI56" s="193"/>
      <c r="DJ56" s="193"/>
      <c r="DK56" s="193"/>
      <c r="DL56" s="193"/>
      <c r="DM56" s="193"/>
      <c r="DN56" s="193"/>
      <c r="DO56" s="193"/>
      <c r="DP56" s="193"/>
      <c r="DQ56" s="193"/>
      <c r="DR56" s="193"/>
      <c r="DS56" s="250">
        <f>VLOOKUP(BL56,Ordreétrangerscum,5,0)</f>
        <v>1398</v>
      </c>
      <c r="DT56" s="250"/>
      <c r="DU56" s="250"/>
      <c r="DV56" s="251"/>
    </row>
    <row r="57" spans="1:12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 s="3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x14ac:dyDescent="0.25">
      <c r="A61" s="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</row>
    <row r="68" spans="1:126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</row>
    <row r="69" spans="1:126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</row>
    <row r="70" spans="1:126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</row>
    <row r="71" spans="1:126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</row>
    <row r="72" spans="1:126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</row>
    <row r="73" spans="1:126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</row>
    <row r="74" spans="1:126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</row>
    <row r="75" spans="1:126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</row>
    <row r="76" spans="1:126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L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</row>
    <row r="77" spans="1:126" x14ac:dyDescent="0.25">
      <c r="B77"/>
      <c r="BL77"/>
    </row>
    <row r="78" spans="1:126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</row>
    <row r="79" spans="1:126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</row>
    <row r="80" spans="1:126" x14ac:dyDescent="0.25">
      <c r="B80"/>
      <c r="BL80"/>
    </row>
    <row r="81" spans="2:126" x14ac:dyDescent="0.25">
      <c r="B81"/>
      <c r="BL81"/>
    </row>
    <row r="82" spans="2:126" x14ac:dyDescent="0.25">
      <c r="B82"/>
      <c r="BK82" s="68"/>
      <c r="BL82"/>
      <c r="DV82" s="68"/>
    </row>
    <row r="83" spans="2:126" x14ac:dyDescent="0.25">
      <c r="B83"/>
      <c r="BL83"/>
    </row>
    <row r="84" spans="2:126" x14ac:dyDescent="0.25">
      <c r="B84"/>
      <c r="BL84"/>
    </row>
    <row r="85" spans="2:126" x14ac:dyDescent="0.25">
      <c r="B85"/>
      <c r="BL85"/>
    </row>
    <row r="86" spans="2:126" x14ac:dyDescent="0.25">
      <c r="B86"/>
      <c r="BL86"/>
    </row>
    <row r="87" spans="2:126" x14ac:dyDescent="0.25">
      <c r="B87"/>
      <c r="BL87"/>
    </row>
    <row r="88" spans="2:126" x14ac:dyDescent="0.25">
      <c r="B88"/>
      <c r="BL88"/>
    </row>
    <row r="89" spans="2:126" x14ac:dyDescent="0.25">
      <c r="B89"/>
      <c r="BL89"/>
    </row>
    <row r="90" spans="2:126" x14ac:dyDescent="0.25">
      <c r="B90"/>
      <c r="BL90"/>
    </row>
    <row r="91" spans="2:126" x14ac:dyDescent="0.25">
      <c r="B91"/>
      <c r="BL91"/>
    </row>
    <row r="92" spans="2:126" x14ac:dyDescent="0.25">
      <c r="B92"/>
      <c r="BL92"/>
    </row>
    <row r="93" spans="2:126" x14ac:dyDescent="0.25">
      <c r="B93"/>
      <c r="BL93"/>
    </row>
    <row r="94" spans="2:126" x14ac:dyDescent="0.25">
      <c r="B94"/>
      <c r="BL94"/>
    </row>
    <row r="95" spans="2:126" x14ac:dyDescent="0.25">
      <c r="B95"/>
      <c r="BL95"/>
    </row>
    <row r="96" spans="2:126" x14ac:dyDescent="0.25">
      <c r="B96"/>
      <c r="BL96"/>
    </row>
    <row r="97" spans="2:64" x14ac:dyDescent="0.25">
      <c r="B97"/>
      <c r="BL97"/>
    </row>
    <row r="98" spans="2:64" x14ac:dyDescent="0.25">
      <c r="B98"/>
      <c r="BL98"/>
    </row>
    <row r="99" spans="2:64" x14ac:dyDescent="0.25">
      <c r="B99"/>
      <c r="BL99"/>
    </row>
    <row r="100" spans="2:64" x14ac:dyDescent="0.25">
      <c r="B100"/>
      <c r="BL100"/>
    </row>
    <row r="101" spans="2:64" x14ac:dyDescent="0.25">
      <c r="B101"/>
      <c r="BL101"/>
    </row>
    <row r="102" spans="2:64" x14ac:dyDescent="0.25">
      <c r="B102"/>
      <c r="BL102"/>
    </row>
    <row r="103" spans="2:64" x14ac:dyDescent="0.25">
      <c r="B103"/>
      <c r="BL103"/>
    </row>
    <row r="104" spans="2:64" x14ac:dyDescent="0.25">
      <c r="B104"/>
      <c r="BL104"/>
    </row>
    <row r="105" spans="2:64" x14ac:dyDescent="0.25">
      <c r="B105"/>
      <c r="BL105"/>
    </row>
    <row r="106" spans="2:64" x14ac:dyDescent="0.25">
      <c r="B106"/>
      <c r="BL106"/>
    </row>
    <row r="107" spans="2:64" x14ac:dyDescent="0.25">
      <c r="B107"/>
      <c r="BL107"/>
    </row>
    <row r="108" spans="2:64" x14ac:dyDescent="0.25">
      <c r="B108"/>
      <c r="BL108"/>
    </row>
    <row r="109" spans="2:64" x14ac:dyDescent="0.25">
      <c r="B109"/>
      <c r="BL109"/>
    </row>
    <row r="110" spans="2:64" x14ac:dyDescent="0.25">
      <c r="B110"/>
      <c r="BL110"/>
    </row>
    <row r="111" spans="2:64" x14ac:dyDescent="0.25">
      <c r="B111"/>
      <c r="BL111"/>
    </row>
    <row r="112" spans="2:64" x14ac:dyDescent="0.25">
      <c r="B112"/>
      <c r="BL112"/>
    </row>
    <row r="113" spans="2:64" x14ac:dyDescent="0.25">
      <c r="B113"/>
      <c r="BL113"/>
    </row>
    <row r="114" spans="2:64" x14ac:dyDescent="0.25">
      <c r="B114"/>
      <c r="BL114"/>
    </row>
    <row r="115" spans="2:64" x14ac:dyDescent="0.25">
      <c r="B115"/>
      <c r="BL115"/>
    </row>
    <row r="116" spans="2:64" x14ac:dyDescent="0.25">
      <c r="B116"/>
      <c r="BL116"/>
    </row>
    <row r="117" spans="2:64" x14ac:dyDescent="0.25">
      <c r="B117"/>
      <c r="BL117"/>
    </row>
    <row r="118" spans="2:64" x14ac:dyDescent="0.25">
      <c r="B118"/>
      <c r="BL118"/>
    </row>
    <row r="119" spans="2:64" x14ac:dyDescent="0.25">
      <c r="B119"/>
      <c r="BL119"/>
    </row>
    <row r="120" spans="2:64" x14ac:dyDescent="0.25">
      <c r="B120"/>
      <c r="BL120"/>
    </row>
    <row r="121" spans="2:64" x14ac:dyDescent="0.25">
      <c r="B121"/>
      <c r="BL121"/>
    </row>
    <row r="122" spans="2:64" x14ac:dyDescent="0.25">
      <c r="B122"/>
      <c r="BL122"/>
    </row>
    <row r="123" spans="2:64" x14ac:dyDescent="0.25">
      <c r="B123"/>
      <c r="BL123"/>
    </row>
    <row r="124" spans="2:64" x14ac:dyDescent="0.25">
      <c r="B124"/>
      <c r="BL124"/>
    </row>
    <row r="125" spans="2:64" x14ac:dyDescent="0.25">
      <c r="B125"/>
      <c r="BL125"/>
    </row>
    <row r="126" spans="2:64" x14ac:dyDescent="0.25">
      <c r="B126"/>
    </row>
    <row r="127" spans="2:64" x14ac:dyDescent="0.25">
      <c r="B127"/>
    </row>
    <row r="128" spans="2:64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</sheetData>
  <sortState xmlns:xlrd2="http://schemas.microsoft.com/office/spreadsheetml/2017/richdata2" ref="BL36:DV41">
    <sortCondition ref="BL41"/>
  </sortState>
  <mergeCells count="10">
    <mergeCell ref="DS55:DV55"/>
    <mergeCell ref="DS56:DV56"/>
    <mergeCell ref="BF52:BK52"/>
    <mergeCell ref="BF53:BK53"/>
    <mergeCell ref="BF54:BK54"/>
    <mergeCell ref="BF55:BK55"/>
    <mergeCell ref="BF56:BK56"/>
    <mergeCell ref="DS52:DV52"/>
    <mergeCell ref="DS53:DV53"/>
    <mergeCell ref="DS54:DV54"/>
  </mergeCells>
  <phoneticPr fontId="5" type="noConversion"/>
  <printOptions horizontalCentered="1" verticalCentered="1"/>
  <pageMargins left="0" right="0" top="0.55118110236220474" bottom="0.39370078740157483" header="0.15748031496062992" footer="0"/>
  <pageSetup paperSize="9" scale="88" orientation="portrait" horizontalDpi="300" verticalDpi="300" r:id="rId1"/>
  <headerFooter alignWithMargins="0">
    <oddHeader>&amp;C&amp;"Book Antiqua,Normal"&amp;14&amp;EFICHIER CADRANS SOLAIRES ÉTRANGERS
2023</oddHeader>
    <oddFooter>&amp;L&amp;8Ajustement = Disparus, doublons ou restaurés&amp;R&amp;9&amp;D - S.GREGORI (01 39 74 49 29)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G105"/>
  <sheetViews>
    <sheetView topLeftCell="BX4" workbookViewId="0">
      <selection activeCell="BU104" sqref="BU104"/>
    </sheetView>
  </sheetViews>
  <sheetFormatPr baseColWidth="10" defaultRowHeight="13.2" outlineLevelCol="1" x14ac:dyDescent="0.25"/>
  <cols>
    <col min="1" max="1" width="4.109375" style="1" customWidth="1"/>
    <col min="2" max="2" width="11.44140625" style="2" customWidth="1"/>
    <col min="3" max="3" width="10.109375" style="2" customWidth="1"/>
    <col min="4" max="4" width="4.44140625" style="3" customWidth="1"/>
    <col min="5" max="5" width="5" style="3" hidden="1" customWidth="1" outlineLevel="1"/>
    <col min="6" max="17" width="4.44140625" style="3" hidden="1" customWidth="1" outlineLevel="1"/>
    <col min="18" max="20" width="4.44140625" style="3" hidden="1" customWidth="1" outlineLevel="1" collapsed="1"/>
    <col min="21" max="21" width="4.44140625" style="101" hidden="1" customWidth="1" outlineLevel="1"/>
    <col min="22" max="24" width="4.44140625" style="3" hidden="1" customWidth="1" outlineLevel="1"/>
    <col min="25" max="25" width="4.44140625" style="3" hidden="1" customWidth="1" outlineLevel="1" collapsed="1"/>
    <col min="26" max="26" width="4.44140625" style="3" hidden="1" customWidth="1" outlineLevel="1"/>
    <col min="27" max="34" width="4.44140625" style="101" hidden="1" customWidth="1" outlineLevel="1"/>
    <col min="35" max="36" width="6.5546875" style="101" hidden="1" customWidth="1" outlineLevel="1"/>
    <col min="37" max="37" width="6.5546875" style="3" bestFit="1" customWidth="1" collapsed="1"/>
    <col min="38" max="38" width="6.5546875" style="101" customWidth="1"/>
    <col min="39" max="44" width="4.44140625" style="3" hidden="1" customWidth="1" outlineLevel="1"/>
    <col min="45" max="47" width="4.44140625" style="3" hidden="1" customWidth="1" outlineLevel="1" collapsed="1"/>
    <col min="48" max="49" width="4.44140625" style="3" hidden="1" customWidth="1" outlineLevel="1"/>
    <col min="50" max="50" width="4.44140625" style="3" hidden="1" customWidth="1" outlineLevel="1" collapsed="1"/>
    <col min="51" max="54" width="4.44140625" style="3" hidden="1" customWidth="1" outlineLevel="1"/>
    <col min="55" max="55" width="4.44140625" style="3" customWidth="1" collapsed="1"/>
    <col min="56" max="56" width="4.44140625" style="3" customWidth="1"/>
    <col min="57" max="57" width="6.5546875" style="3" hidden="1" customWidth="1" outlineLevel="1"/>
    <col min="58" max="58" width="4.44140625" hidden="1" customWidth="1" outlineLevel="1"/>
    <col min="59" max="59" width="6.5546875" style="2" bestFit="1" customWidth="1" collapsed="1"/>
    <col min="60" max="60" width="4.44140625" customWidth="1"/>
    <col min="61" max="61" width="3" bestFit="1" customWidth="1"/>
    <col min="62" max="62" width="2.88671875" bestFit="1" customWidth="1"/>
    <col min="63" max="63" width="4" bestFit="1" customWidth="1"/>
    <col min="64" max="64" width="2.88671875" bestFit="1" customWidth="1"/>
  </cols>
  <sheetData>
    <row r="1" spans="1:85" ht="13.8" thickBot="1" x14ac:dyDescent="0.3">
      <c r="U1" s="3"/>
      <c r="V1" s="101"/>
      <c r="AA1" s="3"/>
      <c r="AB1" s="3"/>
      <c r="AC1" s="3"/>
      <c r="AD1" s="3"/>
      <c r="AE1" s="3"/>
      <c r="AF1" s="3"/>
      <c r="AG1" s="3"/>
      <c r="AH1" s="3"/>
      <c r="AI1" s="3"/>
      <c r="AJ1" s="3"/>
      <c r="AL1" s="3"/>
      <c r="AN1" s="101"/>
      <c r="BF1" s="3"/>
      <c r="BG1" s="3"/>
      <c r="BH1" s="3"/>
    </row>
    <row r="2" spans="1:85" ht="13.8" thickBot="1" x14ac:dyDescent="0.3">
      <c r="D2" s="142"/>
      <c r="E2" s="2"/>
      <c r="F2" s="34">
        <v>97</v>
      </c>
      <c r="G2" s="34">
        <v>98</v>
      </c>
      <c r="H2" s="34">
        <v>99</v>
      </c>
      <c r="I2" s="127">
        <v>0</v>
      </c>
      <c r="J2" s="127">
        <v>1</v>
      </c>
      <c r="K2" s="127">
        <v>2</v>
      </c>
      <c r="L2" s="127">
        <v>3</v>
      </c>
      <c r="M2" s="127">
        <v>4</v>
      </c>
      <c r="N2" s="127">
        <v>5</v>
      </c>
      <c r="O2" s="127">
        <v>6</v>
      </c>
      <c r="P2" s="127">
        <v>7</v>
      </c>
      <c r="Q2" s="127">
        <v>8</v>
      </c>
      <c r="R2" s="127">
        <v>9</v>
      </c>
      <c r="S2" s="127">
        <v>10</v>
      </c>
      <c r="T2" s="127">
        <v>11</v>
      </c>
      <c r="U2" s="127">
        <v>12</v>
      </c>
      <c r="V2" s="127">
        <v>13</v>
      </c>
      <c r="W2" s="127">
        <v>14</v>
      </c>
      <c r="X2" s="243" t="s">
        <v>0</v>
      </c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7"/>
      <c r="AZ2" s="243" t="s">
        <v>1</v>
      </c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 t="s">
        <v>1</v>
      </c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7"/>
      <c r="CB2" s="5" t="s">
        <v>2</v>
      </c>
      <c r="CC2" s="5"/>
      <c r="CD2" s="5"/>
      <c r="CE2" s="5"/>
      <c r="CF2" s="6" t="s">
        <v>0</v>
      </c>
      <c r="CG2" s="6" t="s">
        <v>1</v>
      </c>
    </row>
    <row r="3" spans="1:85" ht="45" customHeight="1" x14ac:dyDescent="0.25">
      <c r="A3" s="8" t="s">
        <v>3</v>
      </c>
      <c r="B3" s="9"/>
      <c r="C3" s="9"/>
      <c r="D3" s="36" t="s">
        <v>4</v>
      </c>
      <c r="E3" s="39">
        <v>1995</v>
      </c>
      <c r="F3" s="36" t="s">
        <v>4</v>
      </c>
      <c r="G3" s="36" t="s">
        <v>4</v>
      </c>
      <c r="H3" s="36" t="s">
        <v>4</v>
      </c>
      <c r="I3" s="36" t="s">
        <v>4</v>
      </c>
      <c r="J3" s="36" t="s">
        <v>4</v>
      </c>
      <c r="K3" s="36" t="s">
        <v>4</v>
      </c>
      <c r="L3" s="36" t="s">
        <v>4</v>
      </c>
      <c r="M3" s="36" t="s">
        <v>4</v>
      </c>
      <c r="N3" s="36" t="s">
        <v>4</v>
      </c>
      <c r="O3" s="36" t="s">
        <v>4</v>
      </c>
      <c r="P3" s="36" t="s">
        <v>4</v>
      </c>
      <c r="Q3" s="36" t="s">
        <v>4</v>
      </c>
      <c r="R3" s="36" t="s">
        <v>4</v>
      </c>
      <c r="S3" s="36" t="s">
        <v>4</v>
      </c>
      <c r="T3" s="36" t="s">
        <v>4</v>
      </c>
      <c r="U3" s="36" t="s">
        <v>4</v>
      </c>
      <c r="V3" s="36" t="s">
        <v>4</v>
      </c>
      <c r="W3" s="36" t="s">
        <v>4</v>
      </c>
      <c r="X3" s="39">
        <v>1996</v>
      </c>
      <c r="Y3" s="39">
        <v>1997</v>
      </c>
      <c r="Z3" s="39">
        <v>1998</v>
      </c>
      <c r="AA3" s="39">
        <v>1999</v>
      </c>
      <c r="AB3" s="39">
        <v>2000</v>
      </c>
      <c r="AC3" s="39">
        <v>2001</v>
      </c>
      <c r="AD3" s="39">
        <v>2002</v>
      </c>
      <c r="AE3" s="39">
        <v>2003</v>
      </c>
      <c r="AF3" s="39">
        <v>2004</v>
      </c>
      <c r="AG3" s="39">
        <v>2005</v>
      </c>
      <c r="AH3" s="39">
        <v>2006</v>
      </c>
      <c r="AI3" s="39">
        <v>2007</v>
      </c>
      <c r="AJ3" s="39">
        <v>2008</v>
      </c>
      <c r="AK3" s="39">
        <v>2009</v>
      </c>
      <c r="AL3" s="39">
        <v>2010</v>
      </c>
      <c r="AM3" s="39">
        <v>2011</v>
      </c>
      <c r="AN3" s="39">
        <v>2012</v>
      </c>
      <c r="AO3" s="39">
        <v>2013</v>
      </c>
      <c r="AP3" s="39">
        <v>2014</v>
      </c>
      <c r="AQ3" s="39">
        <v>2015</v>
      </c>
      <c r="AR3" s="39">
        <v>2016</v>
      </c>
      <c r="AS3" s="39">
        <v>2017</v>
      </c>
      <c r="AT3" s="39">
        <v>2018</v>
      </c>
      <c r="AU3" s="39">
        <v>2019</v>
      </c>
      <c r="AV3" s="39">
        <v>2020</v>
      </c>
      <c r="AW3" s="39">
        <v>2021</v>
      </c>
      <c r="AX3" s="39">
        <v>2021</v>
      </c>
      <c r="AY3" s="39">
        <v>2022</v>
      </c>
      <c r="AZ3" s="39">
        <v>1996</v>
      </c>
      <c r="BA3" s="39">
        <v>1997</v>
      </c>
      <c r="BB3" s="39">
        <v>1998</v>
      </c>
      <c r="BC3" s="39">
        <v>1999</v>
      </c>
      <c r="BD3" s="39">
        <v>2000</v>
      </c>
      <c r="BE3" s="39">
        <v>2001</v>
      </c>
      <c r="BF3" s="39">
        <v>2002</v>
      </c>
      <c r="BG3" s="39">
        <v>2003</v>
      </c>
      <c r="BH3" s="39">
        <v>2004</v>
      </c>
      <c r="BI3" s="39">
        <v>2005</v>
      </c>
      <c r="BJ3" s="39">
        <v>2006</v>
      </c>
      <c r="BK3" s="39">
        <v>2007</v>
      </c>
      <c r="BL3" s="39">
        <v>2008</v>
      </c>
      <c r="BM3" s="39">
        <v>2009</v>
      </c>
      <c r="BN3" s="39">
        <v>2010</v>
      </c>
      <c r="BO3" s="39">
        <v>2011</v>
      </c>
      <c r="BP3" s="39">
        <v>2012</v>
      </c>
      <c r="BQ3" s="39">
        <v>2013</v>
      </c>
      <c r="BR3" s="39">
        <v>2014</v>
      </c>
      <c r="BS3" s="39">
        <v>2015</v>
      </c>
      <c r="BT3" s="39">
        <v>2016</v>
      </c>
      <c r="BU3" s="39">
        <v>2017</v>
      </c>
      <c r="BV3" s="39">
        <v>2018</v>
      </c>
      <c r="BW3" s="39">
        <v>2019</v>
      </c>
      <c r="BX3" s="39">
        <v>2020</v>
      </c>
      <c r="BY3" s="39">
        <v>2021</v>
      </c>
      <c r="BZ3" s="39">
        <v>2021</v>
      </c>
      <c r="CA3" s="39">
        <v>2022</v>
      </c>
      <c r="CB3" s="39">
        <v>2021</v>
      </c>
      <c r="CC3" s="39">
        <v>2022</v>
      </c>
      <c r="CD3" s="103"/>
      <c r="CE3" s="103"/>
      <c r="CF3" s="95" t="s">
        <v>2</v>
      </c>
      <c r="CG3" s="96"/>
    </row>
    <row r="4" spans="1:85" x14ac:dyDescent="0.25">
      <c r="A4" s="10">
        <v>14</v>
      </c>
      <c r="B4" s="11" t="s">
        <v>18</v>
      </c>
      <c r="C4" s="12"/>
      <c r="D4" s="182">
        <v>-6</v>
      </c>
      <c r="E4" s="152">
        <v>184</v>
      </c>
      <c r="F4" s="152"/>
      <c r="G4" s="151">
        <v>-1</v>
      </c>
      <c r="H4" s="151"/>
      <c r="I4" s="151"/>
      <c r="J4" s="151"/>
      <c r="K4" s="151"/>
      <c r="L4" s="151">
        <v>-1</v>
      </c>
      <c r="M4" s="151"/>
      <c r="N4" s="151">
        <v>-2</v>
      </c>
      <c r="O4" s="151"/>
      <c r="P4" s="151"/>
      <c r="Q4" s="182"/>
      <c r="R4" s="182"/>
      <c r="S4" s="182"/>
      <c r="T4" s="182"/>
      <c r="U4" s="182"/>
      <c r="V4" s="182"/>
      <c r="W4" s="182">
        <v>-5</v>
      </c>
      <c r="X4" s="153">
        <v>186</v>
      </c>
      <c r="Y4" s="153">
        <v>8</v>
      </c>
      <c r="Z4" s="141">
        <v>2</v>
      </c>
      <c r="AA4" s="141">
        <v>9</v>
      </c>
      <c r="AB4" s="141">
        <v>3</v>
      </c>
      <c r="AC4" s="141">
        <v>26</v>
      </c>
      <c r="AD4" s="141">
        <v>3</v>
      </c>
      <c r="AE4" s="141">
        <v>5</v>
      </c>
      <c r="AF4" s="141">
        <v>7</v>
      </c>
      <c r="AG4" s="141">
        <v>21</v>
      </c>
      <c r="AH4" s="184">
        <v>15</v>
      </c>
      <c r="AI4" s="184">
        <v>14</v>
      </c>
      <c r="AJ4" s="184">
        <v>9</v>
      </c>
      <c r="AK4" s="184">
        <v>4</v>
      </c>
      <c r="AL4" s="184">
        <v>54</v>
      </c>
      <c r="AM4" s="184">
        <v>6</v>
      </c>
      <c r="AN4" s="173">
        <v>2</v>
      </c>
      <c r="AO4" s="184">
        <v>5</v>
      </c>
      <c r="AP4" s="184">
        <v>1</v>
      </c>
      <c r="AQ4" s="184">
        <v>62</v>
      </c>
      <c r="AR4" s="185">
        <v>1</v>
      </c>
      <c r="AS4" s="173">
        <v>20</v>
      </c>
      <c r="AT4" s="184">
        <v>76</v>
      </c>
      <c r="AU4" s="169">
        <v>48</v>
      </c>
      <c r="AV4" s="184">
        <v>59</v>
      </c>
      <c r="AW4" s="173">
        <v>19</v>
      </c>
      <c r="AX4" s="154">
        <v>27</v>
      </c>
      <c r="AY4" s="184">
        <v>681</v>
      </c>
      <c r="AZ4" s="153">
        <v>71</v>
      </c>
      <c r="BA4" s="153">
        <v>1</v>
      </c>
      <c r="BB4" s="141"/>
      <c r="BC4" s="141"/>
      <c r="BD4" s="141"/>
      <c r="BE4" s="141"/>
      <c r="BF4" s="141">
        <v>1</v>
      </c>
      <c r="BG4" s="141"/>
      <c r="BH4" s="141"/>
      <c r="BI4" s="141"/>
      <c r="BJ4" s="184"/>
      <c r="BK4" s="184">
        <v>1</v>
      </c>
      <c r="BL4" s="184"/>
      <c r="BM4" s="184"/>
      <c r="BN4" s="184"/>
      <c r="BO4" s="184"/>
      <c r="BP4" s="184"/>
      <c r="BQ4" s="184"/>
      <c r="BR4" s="184">
        <v>1</v>
      </c>
      <c r="BS4" s="184"/>
      <c r="BT4" s="184"/>
      <c r="BU4" s="184"/>
      <c r="BV4" s="184"/>
      <c r="BW4" s="184"/>
      <c r="BX4" s="184"/>
      <c r="BY4" s="184"/>
      <c r="BZ4" s="154">
        <v>1</v>
      </c>
      <c r="CA4" s="184">
        <v>0</v>
      </c>
      <c r="CB4" s="141">
        <v>7</v>
      </c>
      <c r="CC4" s="141">
        <v>6</v>
      </c>
      <c r="CD4" s="141">
        <v>688</v>
      </c>
      <c r="CE4" s="141">
        <v>77</v>
      </c>
      <c r="CF4" s="155">
        <v>746</v>
      </c>
      <c r="CG4" s="168">
        <v>13</v>
      </c>
    </row>
    <row r="5" spans="1:85" x14ac:dyDescent="0.25">
      <c r="A5" s="14">
        <v>34</v>
      </c>
      <c r="B5" s="2" t="s">
        <v>37</v>
      </c>
      <c r="C5" s="15"/>
      <c r="D5" s="183">
        <v>-6</v>
      </c>
      <c r="E5" s="150">
        <v>70</v>
      </c>
      <c r="F5" s="150"/>
      <c r="G5" s="136"/>
      <c r="H5" s="136"/>
      <c r="I5" s="136"/>
      <c r="J5" s="136"/>
      <c r="K5" s="136">
        <v>-2</v>
      </c>
      <c r="L5" s="136"/>
      <c r="M5" s="136">
        <v>-2</v>
      </c>
      <c r="N5" s="136">
        <v>-1</v>
      </c>
      <c r="O5" s="136">
        <v>-3</v>
      </c>
      <c r="P5" s="136"/>
      <c r="Q5" s="183"/>
      <c r="R5" s="183"/>
      <c r="S5" s="183">
        <v>-2</v>
      </c>
      <c r="T5" s="183">
        <v>-2</v>
      </c>
      <c r="U5" s="183">
        <v>-1</v>
      </c>
      <c r="V5" s="183"/>
      <c r="W5" s="183"/>
      <c r="X5" s="131">
        <v>76</v>
      </c>
      <c r="Y5" s="131">
        <v>2</v>
      </c>
      <c r="Z5" s="130">
        <v>20</v>
      </c>
      <c r="AA5" s="130">
        <v>9</v>
      </c>
      <c r="AB5" s="130">
        <v>9</v>
      </c>
      <c r="AC5" s="130">
        <v>11</v>
      </c>
      <c r="AD5" s="130">
        <v>72</v>
      </c>
      <c r="AE5" s="130">
        <v>1</v>
      </c>
      <c r="AF5" s="130">
        <v>28</v>
      </c>
      <c r="AG5" s="130">
        <v>46</v>
      </c>
      <c r="AH5" s="185">
        <v>29</v>
      </c>
      <c r="AI5" s="185">
        <v>6</v>
      </c>
      <c r="AJ5" s="185">
        <v>5</v>
      </c>
      <c r="AK5" s="185">
        <v>15</v>
      </c>
      <c r="AL5" s="185">
        <v>19</v>
      </c>
      <c r="AM5" s="185">
        <v>27</v>
      </c>
      <c r="AN5" s="184">
        <v>4</v>
      </c>
      <c r="AO5" s="185">
        <v>11</v>
      </c>
      <c r="AP5" s="185">
        <v>6</v>
      </c>
      <c r="AQ5" s="185">
        <v>15</v>
      </c>
      <c r="AR5" s="185">
        <v>4</v>
      </c>
      <c r="AS5" s="173">
        <v>9</v>
      </c>
      <c r="AT5" s="169">
        <v>1</v>
      </c>
      <c r="AU5" s="130">
        <v>4</v>
      </c>
      <c r="AV5" s="184">
        <v>5</v>
      </c>
      <c r="AW5" s="185">
        <v>2</v>
      </c>
      <c r="AX5" s="154">
        <v>4</v>
      </c>
      <c r="AY5" s="185">
        <v>428</v>
      </c>
      <c r="AZ5" s="131">
        <v>45</v>
      </c>
      <c r="BA5" s="131">
        <v>5</v>
      </c>
      <c r="BB5" s="130"/>
      <c r="BC5" s="130"/>
      <c r="BD5" s="130">
        <v>-5</v>
      </c>
      <c r="BE5" s="130"/>
      <c r="BF5" s="130"/>
      <c r="BG5" s="130">
        <v>1</v>
      </c>
      <c r="BH5" s="130"/>
      <c r="BI5" s="130"/>
      <c r="BJ5" s="185">
        <v>1</v>
      </c>
      <c r="BK5" s="185">
        <v>2</v>
      </c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4">
        <v>1</v>
      </c>
      <c r="BX5" s="184"/>
      <c r="BY5" s="185"/>
      <c r="BZ5" s="154"/>
      <c r="CA5" s="185">
        <v>0</v>
      </c>
      <c r="CB5" s="130">
        <v>4</v>
      </c>
      <c r="CC5" s="130">
        <v>5</v>
      </c>
      <c r="CD5" s="130">
        <v>432</v>
      </c>
      <c r="CE5" s="130">
        <v>50</v>
      </c>
      <c r="CF5" s="133">
        <v>467</v>
      </c>
      <c r="CG5" s="134">
        <v>9</v>
      </c>
    </row>
    <row r="6" spans="1:85" x14ac:dyDescent="0.25">
      <c r="A6" s="14">
        <v>38</v>
      </c>
      <c r="B6" s="2" t="s">
        <v>41</v>
      </c>
      <c r="C6" s="22"/>
      <c r="D6" s="183">
        <v>-1</v>
      </c>
      <c r="E6" s="150">
        <v>146</v>
      </c>
      <c r="F6" s="150"/>
      <c r="G6" s="136">
        <v>-1</v>
      </c>
      <c r="H6" s="136"/>
      <c r="I6" s="136">
        <v>-2</v>
      </c>
      <c r="J6" s="136">
        <v>-1</v>
      </c>
      <c r="K6" s="136">
        <v>-10</v>
      </c>
      <c r="L6" s="136">
        <v>-2</v>
      </c>
      <c r="M6" s="136">
        <v>-1</v>
      </c>
      <c r="N6" s="136">
        <v>-1</v>
      </c>
      <c r="O6" s="136">
        <v>-1</v>
      </c>
      <c r="P6" s="136"/>
      <c r="Q6" s="183">
        <v>-3</v>
      </c>
      <c r="R6" s="183">
        <v>-1</v>
      </c>
      <c r="S6" s="183"/>
      <c r="T6" s="183"/>
      <c r="U6" s="183"/>
      <c r="V6" s="183"/>
      <c r="W6" s="183"/>
      <c r="X6" s="131">
        <v>147</v>
      </c>
      <c r="Y6" s="131">
        <v>11</v>
      </c>
      <c r="Z6" s="130">
        <v>15</v>
      </c>
      <c r="AA6" s="130">
        <v>8</v>
      </c>
      <c r="AB6" s="130">
        <v>28</v>
      </c>
      <c r="AC6" s="130">
        <v>14</v>
      </c>
      <c r="AD6" s="130">
        <v>73</v>
      </c>
      <c r="AE6" s="130">
        <v>16</v>
      </c>
      <c r="AF6" s="130">
        <v>10</v>
      </c>
      <c r="AG6" s="130">
        <v>13</v>
      </c>
      <c r="AH6" s="185">
        <v>12</v>
      </c>
      <c r="AI6" s="185">
        <v>6</v>
      </c>
      <c r="AJ6" s="185">
        <v>8</v>
      </c>
      <c r="AK6" s="185">
        <v>15</v>
      </c>
      <c r="AL6" s="185">
        <v>12</v>
      </c>
      <c r="AM6" s="185">
        <v>12</v>
      </c>
      <c r="AN6" s="173">
        <v>12</v>
      </c>
      <c r="AO6" s="185">
        <v>1</v>
      </c>
      <c r="AP6" s="185">
        <v>5</v>
      </c>
      <c r="AQ6" s="185">
        <v>18</v>
      </c>
      <c r="AR6" s="184">
        <v>37</v>
      </c>
      <c r="AS6" s="184">
        <v>14</v>
      </c>
      <c r="AT6" s="185">
        <v>8</v>
      </c>
      <c r="AU6" s="185">
        <v>2</v>
      </c>
      <c r="AV6" s="173">
        <v>1</v>
      </c>
      <c r="AW6" s="185">
        <v>4</v>
      </c>
      <c r="AX6" s="154">
        <v>7</v>
      </c>
      <c r="AY6" s="185">
        <v>486</v>
      </c>
      <c r="AZ6" s="131">
        <v>28</v>
      </c>
      <c r="BA6" s="131">
        <v>5</v>
      </c>
      <c r="BB6" s="130"/>
      <c r="BC6" s="130"/>
      <c r="BD6" s="130">
        <v>-2</v>
      </c>
      <c r="BE6" s="130"/>
      <c r="BF6" s="130"/>
      <c r="BG6" s="130">
        <v>2</v>
      </c>
      <c r="BH6" s="130">
        <v>1</v>
      </c>
      <c r="BI6" s="130"/>
      <c r="BJ6" s="185">
        <v>1</v>
      </c>
      <c r="BK6" s="185"/>
      <c r="BL6" s="185"/>
      <c r="BM6" s="185">
        <v>2</v>
      </c>
      <c r="BN6" s="185"/>
      <c r="BO6" s="185">
        <v>2</v>
      </c>
      <c r="BP6" s="185">
        <v>2</v>
      </c>
      <c r="BQ6" s="185"/>
      <c r="BR6" s="185">
        <v>1</v>
      </c>
      <c r="BS6" s="185"/>
      <c r="BT6" s="185">
        <v>4</v>
      </c>
      <c r="BU6" s="185"/>
      <c r="BV6" s="185"/>
      <c r="BW6" s="185">
        <v>-1</v>
      </c>
      <c r="BX6" s="184">
        <v>1</v>
      </c>
      <c r="BY6" s="185"/>
      <c r="BZ6" s="154"/>
      <c r="CA6" s="185">
        <v>0</v>
      </c>
      <c r="CB6" s="130">
        <v>18</v>
      </c>
      <c r="CC6" s="130">
        <v>0</v>
      </c>
      <c r="CD6" s="130">
        <v>504</v>
      </c>
      <c r="CE6" s="130">
        <v>28</v>
      </c>
      <c r="CF6" s="133">
        <v>513</v>
      </c>
      <c r="CG6" s="134">
        <v>18</v>
      </c>
    </row>
    <row r="7" spans="1:85" x14ac:dyDescent="0.25">
      <c r="A7" s="14">
        <v>4</v>
      </c>
      <c r="B7" s="2" t="s">
        <v>8</v>
      </c>
      <c r="C7" s="15"/>
      <c r="D7" s="183"/>
      <c r="E7" s="150">
        <v>270</v>
      </c>
      <c r="F7" s="150">
        <v>-5</v>
      </c>
      <c r="G7" s="136">
        <v>-4</v>
      </c>
      <c r="H7" s="136">
        <v>-1</v>
      </c>
      <c r="I7" s="136"/>
      <c r="J7" s="136">
        <v>-4</v>
      </c>
      <c r="K7" s="136">
        <v>-8</v>
      </c>
      <c r="L7" s="136"/>
      <c r="M7" s="136"/>
      <c r="N7" s="136">
        <v>-4</v>
      </c>
      <c r="O7" s="136">
        <v>-2</v>
      </c>
      <c r="P7" s="136">
        <v>-6</v>
      </c>
      <c r="Q7" s="183">
        <v>-3</v>
      </c>
      <c r="R7" s="183">
        <v>-1</v>
      </c>
      <c r="S7" s="183">
        <v>-12</v>
      </c>
      <c r="T7" s="183">
        <v>-3</v>
      </c>
      <c r="U7" s="183">
        <v>-2</v>
      </c>
      <c r="V7" s="183"/>
      <c r="W7" s="183">
        <v>-2</v>
      </c>
      <c r="X7" s="131">
        <v>266</v>
      </c>
      <c r="Y7" s="131">
        <v>16</v>
      </c>
      <c r="Z7" s="130">
        <v>29</v>
      </c>
      <c r="AA7" s="130">
        <v>7</v>
      </c>
      <c r="AB7" s="130">
        <v>10</v>
      </c>
      <c r="AC7" s="130">
        <v>21</v>
      </c>
      <c r="AD7" s="130">
        <v>40</v>
      </c>
      <c r="AE7" s="130">
        <v>9</v>
      </c>
      <c r="AF7" s="130">
        <v>11</v>
      </c>
      <c r="AG7" s="130">
        <v>41</v>
      </c>
      <c r="AH7" s="185">
        <v>9</v>
      </c>
      <c r="AI7" s="185">
        <v>21</v>
      </c>
      <c r="AJ7" s="185">
        <v>22</v>
      </c>
      <c r="AK7" s="185">
        <v>8</v>
      </c>
      <c r="AL7" s="185">
        <v>135</v>
      </c>
      <c r="AM7" s="185">
        <v>16</v>
      </c>
      <c r="AN7" s="169">
        <v>20</v>
      </c>
      <c r="AO7" s="185">
        <v>17</v>
      </c>
      <c r="AP7" s="185">
        <v>9</v>
      </c>
      <c r="AQ7" s="185">
        <v>18</v>
      </c>
      <c r="AR7" s="169">
        <v>5</v>
      </c>
      <c r="AS7" s="169">
        <v>3</v>
      </c>
      <c r="AT7" s="169">
        <v>27</v>
      </c>
      <c r="AU7" s="130">
        <v>11</v>
      </c>
      <c r="AV7" s="184">
        <v>11</v>
      </c>
      <c r="AW7" s="173">
        <v>3</v>
      </c>
      <c r="AX7" s="154">
        <v>22</v>
      </c>
      <c r="AY7" s="185">
        <v>750</v>
      </c>
      <c r="AZ7" s="131">
        <v>24</v>
      </c>
      <c r="BA7" s="131">
        <v>5</v>
      </c>
      <c r="BB7" s="130"/>
      <c r="BC7" s="130"/>
      <c r="BD7" s="130">
        <v>-2</v>
      </c>
      <c r="BE7" s="130"/>
      <c r="BF7" s="130"/>
      <c r="BG7" s="130">
        <v>1</v>
      </c>
      <c r="BH7" s="130"/>
      <c r="BI7" s="130">
        <v>3</v>
      </c>
      <c r="BJ7" s="185"/>
      <c r="BK7" s="185"/>
      <c r="BL7" s="185">
        <v>1</v>
      </c>
      <c r="BM7" s="185"/>
      <c r="BN7" s="185"/>
      <c r="BO7" s="185">
        <v>1</v>
      </c>
      <c r="BP7" s="185">
        <v>1</v>
      </c>
      <c r="BQ7" s="185"/>
      <c r="BR7" s="185"/>
      <c r="BS7" s="185"/>
      <c r="BT7" s="185"/>
      <c r="BU7" s="185"/>
      <c r="BV7" s="185"/>
      <c r="BW7" s="185"/>
      <c r="BX7" s="184"/>
      <c r="BY7" s="185"/>
      <c r="BZ7" s="154"/>
      <c r="CA7" s="185">
        <v>0</v>
      </c>
      <c r="CB7" s="130">
        <v>10</v>
      </c>
      <c r="CC7" s="130">
        <v>0</v>
      </c>
      <c r="CD7" s="130">
        <v>760</v>
      </c>
      <c r="CE7" s="130">
        <v>24</v>
      </c>
      <c r="CF7" s="133">
        <v>774</v>
      </c>
      <c r="CG7" s="134">
        <v>10</v>
      </c>
    </row>
    <row r="8" spans="1:85" x14ac:dyDescent="0.25">
      <c r="A8" s="14">
        <v>37</v>
      </c>
      <c r="B8" s="2" t="s">
        <v>40</v>
      </c>
      <c r="C8" s="15"/>
      <c r="D8" s="183"/>
      <c r="E8" s="150">
        <v>56</v>
      </c>
      <c r="F8" s="150"/>
      <c r="G8" s="136"/>
      <c r="H8" s="136"/>
      <c r="I8" s="136"/>
      <c r="J8" s="136">
        <v>-2</v>
      </c>
      <c r="K8" s="136"/>
      <c r="L8" s="136">
        <v>-2</v>
      </c>
      <c r="M8" s="136"/>
      <c r="N8" s="136"/>
      <c r="O8" s="136"/>
      <c r="P8" s="136">
        <v>-1</v>
      </c>
      <c r="Q8" s="183"/>
      <c r="R8" s="183"/>
      <c r="S8" s="183"/>
      <c r="T8" s="183"/>
      <c r="U8" s="183"/>
      <c r="V8" s="183"/>
      <c r="W8" s="183"/>
      <c r="X8" s="131">
        <v>49</v>
      </c>
      <c r="Y8" s="131">
        <v>9</v>
      </c>
      <c r="Z8" s="130">
        <v>6</v>
      </c>
      <c r="AA8" s="130">
        <v>12</v>
      </c>
      <c r="AB8" s="130">
        <v>10</v>
      </c>
      <c r="AC8" s="130">
        <v>10</v>
      </c>
      <c r="AD8" s="130">
        <v>6</v>
      </c>
      <c r="AE8" s="130">
        <v>41</v>
      </c>
      <c r="AF8" s="130">
        <v>76</v>
      </c>
      <c r="AG8" s="130">
        <v>11</v>
      </c>
      <c r="AH8" s="185">
        <v>21</v>
      </c>
      <c r="AI8" s="185">
        <v>38</v>
      </c>
      <c r="AJ8" s="185">
        <v>12</v>
      </c>
      <c r="AK8" s="185">
        <v>3</v>
      </c>
      <c r="AL8" s="185">
        <v>75</v>
      </c>
      <c r="AM8" s="185">
        <v>1</v>
      </c>
      <c r="AN8" s="185">
        <v>9</v>
      </c>
      <c r="AO8" s="185"/>
      <c r="AP8" s="185">
        <v>1</v>
      </c>
      <c r="AQ8" s="185">
        <v>3</v>
      </c>
      <c r="AR8" s="185">
        <v>4</v>
      </c>
      <c r="AS8" s="173">
        <v>2</v>
      </c>
      <c r="AT8" s="185">
        <v>10</v>
      </c>
      <c r="AU8" s="185">
        <v>8</v>
      </c>
      <c r="AV8" s="184">
        <v>1</v>
      </c>
      <c r="AW8" s="184">
        <v>3</v>
      </c>
      <c r="AX8" s="154">
        <v>1</v>
      </c>
      <c r="AY8" s="185">
        <v>417</v>
      </c>
      <c r="AZ8" s="131">
        <v>23</v>
      </c>
      <c r="BA8" s="131">
        <v>7</v>
      </c>
      <c r="BB8" s="130"/>
      <c r="BC8" s="130">
        <v>6</v>
      </c>
      <c r="BD8" s="130">
        <v>-12</v>
      </c>
      <c r="BE8" s="130"/>
      <c r="BF8" s="130"/>
      <c r="BG8" s="130"/>
      <c r="BH8" s="130">
        <v>3</v>
      </c>
      <c r="BI8" s="130"/>
      <c r="BJ8" s="185"/>
      <c r="BK8" s="185"/>
      <c r="BL8" s="185"/>
      <c r="BM8" s="185"/>
      <c r="BN8" s="185"/>
      <c r="BO8" s="185">
        <v>1</v>
      </c>
      <c r="BP8" s="185">
        <v>1</v>
      </c>
      <c r="BQ8" s="185">
        <v>1</v>
      </c>
      <c r="BR8" s="185"/>
      <c r="BS8" s="185">
        <v>1</v>
      </c>
      <c r="BT8" s="185"/>
      <c r="BU8" s="185"/>
      <c r="BV8" s="184"/>
      <c r="BW8" s="185"/>
      <c r="BX8" s="184"/>
      <c r="BY8" s="185"/>
      <c r="BZ8" s="154"/>
      <c r="CA8" s="185">
        <v>0</v>
      </c>
      <c r="CB8" s="130">
        <v>8</v>
      </c>
      <c r="CC8" s="130">
        <v>0</v>
      </c>
      <c r="CD8" s="130">
        <v>425</v>
      </c>
      <c r="CE8" s="130">
        <v>23</v>
      </c>
      <c r="CF8" s="133">
        <v>440</v>
      </c>
      <c r="CG8" s="134">
        <v>8</v>
      </c>
    </row>
    <row r="9" spans="1:85" x14ac:dyDescent="0.25">
      <c r="A9" s="14">
        <v>89</v>
      </c>
      <c r="B9" s="2" t="s">
        <v>92</v>
      </c>
      <c r="C9" s="22"/>
      <c r="D9" s="183">
        <v>-2</v>
      </c>
      <c r="E9" s="150">
        <v>130</v>
      </c>
      <c r="F9" s="150">
        <v>-1</v>
      </c>
      <c r="G9" s="136"/>
      <c r="H9" s="136">
        <v>-2</v>
      </c>
      <c r="I9" s="136"/>
      <c r="J9" s="136">
        <v>-1</v>
      </c>
      <c r="K9" s="136">
        <v>-1</v>
      </c>
      <c r="L9" s="136"/>
      <c r="M9" s="136">
        <v>-1</v>
      </c>
      <c r="N9" s="136">
        <v>-1</v>
      </c>
      <c r="O9" s="136"/>
      <c r="P9" s="136"/>
      <c r="Q9" s="183">
        <v>-3</v>
      </c>
      <c r="R9" s="183"/>
      <c r="S9" s="183">
        <v>-2</v>
      </c>
      <c r="T9" s="183"/>
      <c r="U9" s="183">
        <v>-1</v>
      </c>
      <c r="V9" s="183"/>
      <c r="W9" s="183"/>
      <c r="X9" s="131">
        <v>136</v>
      </c>
      <c r="Y9" s="131"/>
      <c r="Z9" s="130">
        <v>8</v>
      </c>
      <c r="AA9" s="130">
        <v>39</v>
      </c>
      <c r="AB9" s="130">
        <v>30</v>
      </c>
      <c r="AC9" s="130">
        <v>49</v>
      </c>
      <c r="AD9" s="130">
        <v>15</v>
      </c>
      <c r="AE9" s="130">
        <v>4</v>
      </c>
      <c r="AF9" s="130">
        <v>23</v>
      </c>
      <c r="AG9" s="130">
        <v>11</v>
      </c>
      <c r="AH9" s="185">
        <v>9</v>
      </c>
      <c r="AI9" s="185">
        <v>7</v>
      </c>
      <c r="AJ9" s="185">
        <v>40</v>
      </c>
      <c r="AK9" s="185">
        <v>16</v>
      </c>
      <c r="AL9" s="185">
        <v>16</v>
      </c>
      <c r="AM9" s="185"/>
      <c r="AN9" s="185">
        <v>2</v>
      </c>
      <c r="AO9" s="185">
        <v>8</v>
      </c>
      <c r="AP9" s="185">
        <v>2</v>
      </c>
      <c r="AQ9" s="185">
        <v>2</v>
      </c>
      <c r="AR9" s="185">
        <v>4</v>
      </c>
      <c r="AS9" s="185">
        <v>1</v>
      </c>
      <c r="AT9" s="185"/>
      <c r="AU9" s="185"/>
      <c r="AV9" s="184">
        <v>3</v>
      </c>
      <c r="AW9" s="184">
        <v>8</v>
      </c>
      <c r="AX9" s="154">
        <v>1</v>
      </c>
      <c r="AY9" s="185">
        <v>421</v>
      </c>
      <c r="AZ9" s="131">
        <v>17</v>
      </c>
      <c r="BA9" s="131"/>
      <c r="BB9" s="130"/>
      <c r="BC9" s="130">
        <v>6</v>
      </c>
      <c r="BD9" s="130">
        <v>1</v>
      </c>
      <c r="BE9" s="130"/>
      <c r="BF9" s="130">
        <v>2</v>
      </c>
      <c r="BG9" s="130">
        <v>4</v>
      </c>
      <c r="BH9" s="130"/>
      <c r="BI9" s="130">
        <v>3</v>
      </c>
      <c r="BJ9" s="185">
        <v>6</v>
      </c>
      <c r="BK9" s="185">
        <v>1</v>
      </c>
      <c r="BL9" s="185">
        <v>3</v>
      </c>
      <c r="BM9" s="185">
        <v>2</v>
      </c>
      <c r="BN9" s="185">
        <v>1</v>
      </c>
      <c r="BO9" s="185">
        <v>0</v>
      </c>
      <c r="BP9" s="185"/>
      <c r="BQ9" s="185"/>
      <c r="BR9" s="185"/>
      <c r="BS9" s="185"/>
      <c r="BT9" s="185"/>
      <c r="BU9" s="185"/>
      <c r="BV9" s="185"/>
      <c r="BW9" s="185"/>
      <c r="BX9" s="184"/>
      <c r="BY9" s="185"/>
      <c r="BZ9" s="154">
        <v>1</v>
      </c>
      <c r="CA9" s="185"/>
      <c r="CB9" s="130">
        <v>30</v>
      </c>
      <c r="CC9" s="130">
        <v>0</v>
      </c>
      <c r="CD9" s="130">
        <v>451</v>
      </c>
      <c r="CE9" s="130">
        <v>17</v>
      </c>
      <c r="CF9" s="133">
        <v>436</v>
      </c>
      <c r="CG9" s="134">
        <v>30</v>
      </c>
    </row>
    <row r="10" spans="1:85" x14ac:dyDescent="0.25">
      <c r="A10" s="14">
        <v>51</v>
      </c>
      <c r="B10" s="2" t="s">
        <v>54</v>
      </c>
      <c r="C10" s="22"/>
      <c r="D10" s="183">
        <v>-4</v>
      </c>
      <c r="E10" s="150">
        <v>113</v>
      </c>
      <c r="F10" s="150"/>
      <c r="G10" s="136"/>
      <c r="H10" s="136"/>
      <c r="I10" s="136"/>
      <c r="J10" s="136">
        <v>-1</v>
      </c>
      <c r="K10" s="136">
        <v>-2</v>
      </c>
      <c r="L10" s="136"/>
      <c r="M10" s="136">
        <v>-1</v>
      </c>
      <c r="N10" s="136"/>
      <c r="O10" s="136"/>
      <c r="P10" s="136">
        <v>-1</v>
      </c>
      <c r="Q10" s="183"/>
      <c r="R10" s="183"/>
      <c r="S10" s="183">
        <v>-1</v>
      </c>
      <c r="T10" s="183"/>
      <c r="U10" s="183">
        <v>-1</v>
      </c>
      <c r="V10" s="183"/>
      <c r="W10" s="183">
        <v>-2</v>
      </c>
      <c r="X10" s="131">
        <v>113</v>
      </c>
      <c r="Y10" s="131"/>
      <c r="Z10" s="130"/>
      <c r="AA10" s="130">
        <v>2</v>
      </c>
      <c r="AB10" s="130">
        <v>16</v>
      </c>
      <c r="AC10" s="130">
        <v>15</v>
      </c>
      <c r="AD10" s="130">
        <v>13</v>
      </c>
      <c r="AE10" s="130">
        <v>19</v>
      </c>
      <c r="AF10" s="130">
        <v>35</v>
      </c>
      <c r="AG10" s="130">
        <v>51</v>
      </c>
      <c r="AH10" s="185">
        <v>14</v>
      </c>
      <c r="AI10" s="185">
        <v>45</v>
      </c>
      <c r="AJ10" s="185">
        <v>1</v>
      </c>
      <c r="AK10" s="185">
        <v>5</v>
      </c>
      <c r="AL10" s="185">
        <v>7</v>
      </c>
      <c r="AM10" s="185">
        <v>24</v>
      </c>
      <c r="AN10" s="185">
        <v>16</v>
      </c>
      <c r="AO10" s="185">
        <v>6</v>
      </c>
      <c r="AP10" s="185">
        <v>1</v>
      </c>
      <c r="AQ10" s="185">
        <v>3</v>
      </c>
      <c r="AR10" s="184">
        <v>6</v>
      </c>
      <c r="AS10" s="230">
        <v>1</v>
      </c>
      <c r="AT10" s="185">
        <v>4</v>
      </c>
      <c r="AU10" s="185">
        <v>24</v>
      </c>
      <c r="AV10" s="184">
        <v>4</v>
      </c>
      <c r="AW10" s="185">
        <v>1</v>
      </c>
      <c r="AX10" s="154">
        <v>5</v>
      </c>
      <c r="AY10" s="185">
        <v>422</v>
      </c>
      <c r="AZ10" s="131">
        <v>15</v>
      </c>
      <c r="BA10" s="131">
        <v>1</v>
      </c>
      <c r="BB10" s="130"/>
      <c r="BC10" s="130"/>
      <c r="BD10" s="130"/>
      <c r="BE10" s="130">
        <v>2</v>
      </c>
      <c r="BF10" s="130">
        <v>0</v>
      </c>
      <c r="BG10" s="130"/>
      <c r="BH10" s="130"/>
      <c r="BI10" s="130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>
        <v>1</v>
      </c>
      <c r="BT10" s="185"/>
      <c r="BU10" s="227"/>
      <c r="BV10" s="185"/>
      <c r="BW10" s="185"/>
      <c r="BX10" s="184"/>
      <c r="BY10" s="185"/>
      <c r="BZ10" s="154"/>
      <c r="CA10" s="185"/>
      <c r="CB10" s="130">
        <v>4</v>
      </c>
      <c r="CC10" s="130">
        <v>0</v>
      </c>
      <c r="CD10" s="130">
        <v>426</v>
      </c>
      <c r="CE10" s="130">
        <v>15</v>
      </c>
      <c r="CF10" s="133">
        <v>433</v>
      </c>
      <c r="CG10" s="134">
        <v>4</v>
      </c>
    </row>
    <row r="11" spans="1:85" x14ac:dyDescent="0.25">
      <c r="A11" s="14">
        <v>29</v>
      </c>
      <c r="B11" s="2" t="s">
        <v>32</v>
      </c>
      <c r="C11" s="22"/>
      <c r="D11" s="183"/>
      <c r="E11" s="150">
        <v>166</v>
      </c>
      <c r="F11" s="150"/>
      <c r="G11" s="136">
        <v>-1</v>
      </c>
      <c r="H11" s="136">
        <v>-3</v>
      </c>
      <c r="I11" s="136">
        <v>-4</v>
      </c>
      <c r="J11" s="136">
        <v>-15</v>
      </c>
      <c r="K11" s="136">
        <v>-2</v>
      </c>
      <c r="L11" s="136"/>
      <c r="M11" s="136"/>
      <c r="N11" s="136">
        <v>-1</v>
      </c>
      <c r="O11" s="136">
        <v>-3</v>
      </c>
      <c r="P11" s="136">
        <v>-3</v>
      </c>
      <c r="Q11" s="183"/>
      <c r="R11" s="183"/>
      <c r="S11" s="183"/>
      <c r="T11" s="183"/>
      <c r="U11" s="183">
        <v>-1</v>
      </c>
      <c r="V11" s="183"/>
      <c r="W11" s="183"/>
      <c r="X11" s="131">
        <v>159</v>
      </c>
      <c r="Y11" s="131">
        <v>8</v>
      </c>
      <c r="Z11" s="130">
        <v>12</v>
      </c>
      <c r="AA11" s="130">
        <v>13</v>
      </c>
      <c r="AB11" s="130">
        <v>41</v>
      </c>
      <c r="AC11" s="130">
        <v>119</v>
      </c>
      <c r="AD11" s="130">
        <v>59</v>
      </c>
      <c r="AE11" s="130">
        <v>7</v>
      </c>
      <c r="AF11" s="130">
        <v>15</v>
      </c>
      <c r="AG11" s="130">
        <v>8</v>
      </c>
      <c r="AH11" s="185">
        <v>9</v>
      </c>
      <c r="AI11" s="185">
        <v>11</v>
      </c>
      <c r="AJ11" s="185">
        <v>6</v>
      </c>
      <c r="AK11" s="185">
        <v>14</v>
      </c>
      <c r="AL11" s="185">
        <v>-6</v>
      </c>
      <c r="AM11" s="185">
        <v>10</v>
      </c>
      <c r="AN11" s="185">
        <v>3</v>
      </c>
      <c r="AO11" s="185">
        <v>-1</v>
      </c>
      <c r="AP11" s="185">
        <v>6</v>
      </c>
      <c r="AQ11" s="185">
        <v>7</v>
      </c>
      <c r="AR11" s="184">
        <v>10</v>
      </c>
      <c r="AS11" s="173">
        <v>2</v>
      </c>
      <c r="AT11" s="185">
        <v>-5</v>
      </c>
      <c r="AU11" s="185">
        <v>1</v>
      </c>
      <c r="AV11" s="184">
        <v>0</v>
      </c>
      <c r="AW11" s="169">
        <v>4</v>
      </c>
      <c r="AX11" s="154">
        <v>6</v>
      </c>
      <c r="AY11" s="185">
        <v>487</v>
      </c>
      <c r="AZ11" s="131">
        <v>8</v>
      </c>
      <c r="BA11" s="131">
        <v>7</v>
      </c>
      <c r="BB11" s="130">
        <v>3</v>
      </c>
      <c r="BC11" s="130">
        <v>1</v>
      </c>
      <c r="BD11" s="130">
        <v>-3</v>
      </c>
      <c r="BE11" s="130">
        <v>9</v>
      </c>
      <c r="BF11" s="130">
        <v>39</v>
      </c>
      <c r="BG11" s="130">
        <v>23</v>
      </c>
      <c r="BH11" s="130">
        <v>12</v>
      </c>
      <c r="BI11" s="130">
        <v>10</v>
      </c>
      <c r="BJ11" s="185"/>
      <c r="BK11" s="185">
        <v>6</v>
      </c>
      <c r="BL11" s="185">
        <v>11</v>
      </c>
      <c r="BM11" s="185">
        <v>10</v>
      </c>
      <c r="BN11" s="185">
        <v>13</v>
      </c>
      <c r="BO11" s="185">
        <v>6</v>
      </c>
      <c r="BP11" s="185">
        <v>24</v>
      </c>
      <c r="BQ11" s="185"/>
      <c r="BR11" s="185">
        <v>12</v>
      </c>
      <c r="BS11" s="185">
        <v>9</v>
      </c>
      <c r="BT11" s="185">
        <v>7</v>
      </c>
      <c r="BU11" s="185">
        <v>15</v>
      </c>
      <c r="BV11" s="185">
        <v>15</v>
      </c>
      <c r="BW11" s="185">
        <v>2</v>
      </c>
      <c r="BX11" s="184">
        <v>38</v>
      </c>
      <c r="BY11" s="185">
        <v>5</v>
      </c>
      <c r="BZ11" s="154">
        <v>1</v>
      </c>
      <c r="CA11" s="185">
        <v>6</v>
      </c>
      <c r="CB11" s="130">
        <v>279</v>
      </c>
      <c r="CC11" s="130">
        <v>6</v>
      </c>
      <c r="CD11" s="130">
        <v>766</v>
      </c>
      <c r="CE11" s="130">
        <v>14</v>
      </c>
      <c r="CF11" s="133">
        <v>495</v>
      </c>
      <c r="CG11" s="134">
        <v>285</v>
      </c>
    </row>
    <row r="12" spans="1:85" x14ac:dyDescent="0.25">
      <c r="A12" s="14">
        <v>84</v>
      </c>
      <c r="B12" s="2" t="s">
        <v>87</v>
      </c>
      <c r="C12" s="15"/>
      <c r="D12" s="183">
        <v>-3</v>
      </c>
      <c r="E12" s="150">
        <v>288</v>
      </c>
      <c r="F12" s="150"/>
      <c r="G12" s="136">
        <v>-3</v>
      </c>
      <c r="H12" s="136">
        <v>-1</v>
      </c>
      <c r="I12" s="136">
        <v>-1</v>
      </c>
      <c r="J12" s="136">
        <v>-1</v>
      </c>
      <c r="K12" s="136">
        <v>-1</v>
      </c>
      <c r="L12" s="136">
        <v>-2</v>
      </c>
      <c r="M12" s="136"/>
      <c r="N12" s="136">
        <v>-1</v>
      </c>
      <c r="O12" s="136">
        <v>-3</v>
      </c>
      <c r="P12" s="136">
        <v>-2</v>
      </c>
      <c r="Q12" s="183"/>
      <c r="R12" s="183">
        <v>-3</v>
      </c>
      <c r="S12" s="183">
        <v>-8</v>
      </c>
      <c r="T12" s="183">
        <v>-8</v>
      </c>
      <c r="U12" s="183"/>
      <c r="V12" s="183"/>
      <c r="W12" s="183"/>
      <c r="X12" s="131">
        <v>304</v>
      </c>
      <c r="Y12" s="131">
        <v>25</v>
      </c>
      <c r="Z12" s="130">
        <v>41</v>
      </c>
      <c r="AA12" s="130">
        <v>70</v>
      </c>
      <c r="AB12" s="130">
        <v>39</v>
      </c>
      <c r="AC12" s="130">
        <v>25</v>
      </c>
      <c r="AD12" s="130">
        <v>7</v>
      </c>
      <c r="AE12" s="130">
        <v>20</v>
      </c>
      <c r="AF12" s="130">
        <v>5</v>
      </c>
      <c r="AG12" s="130">
        <v>53</v>
      </c>
      <c r="AH12" s="185">
        <v>11</v>
      </c>
      <c r="AI12" s="185">
        <v>11</v>
      </c>
      <c r="AJ12" s="185">
        <v>26</v>
      </c>
      <c r="AK12" s="185">
        <v>30</v>
      </c>
      <c r="AL12" s="185">
        <v>110</v>
      </c>
      <c r="AM12" s="185">
        <v>48</v>
      </c>
      <c r="AN12" s="184">
        <v>24</v>
      </c>
      <c r="AO12" s="185">
        <v>35</v>
      </c>
      <c r="AP12" s="185">
        <v>32</v>
      </c>
      <c r="AQ12" s="185">
        <v>40</v>
      </c>
      <c r="AR12" s="184">
        <v>20</v>
      </c>
      <c r="AS12" s="169">
        <v>19</v>
      </c>
      <c r="AT12" s="185">
        <v>5</v>
      </c>
      <c r="AU12" s="185">
        <v>20</v>
      </c>
      <c r="AV12" s="184">
        <v>3</v>
      </c>
      <c r="AW12" s="169">
        <v>8</v>
      </c>
      <c r="AX12" s="154">
        <v>16</v>
      </c>
      <c r="AY12" s="185">
        <v>1013</v>
      </c>
      <c r="AZ12" s="131">
        <v>13</v>
      </c>
      <c r="BA12" s="131">
        <v>1</v>
      </c>
      <c r="BB12" s="130"/>
      <c r="BC12" s="130">
        <v>4</v>
      </c>
      <c r="BD12" s="130">
        <v>8</v>
      </c>
      <c r="BE12" s="130">
        <v>3</v>
      </c>
      <c r="BF12" s="130"/>
      <c r="BG12" s="130"/>
      <c r="BH12" s="130">
        <v>3</v>
      </c>
      <c r="BI12" s="130"/>
      <c r="BJ12" s="185">
        <v>1</v>
      </c>
      <c r="BK12" s="185">
        <v>4</v>
      </c>
      <c r="BL12" s="185">
        <v>1</v>
      </c>
      <c r="BM12" s="185">
        <v>3</v>
      </c>
      <c r="BN12" s="185">
        <v>5</v>
      </c>
      <c r="BO12" s="185">
        <v>1</v>
      </c>
      <c r="BP12" s="185">
        <v>3</v>
      </c>
      <c r="BQ12" s="185">
        <v>2</v>
      </c>
      <c r="BR12" s="185">
        <v>3</v>
      </c>
      <c r="BS12" s="185"/>
      <c r="BT12" s="185">
        <v>1</v>
      </c>
      <c r="BU12" s="185"/>
      <c r="BV12" s="185">
        <v>1</v>
      </c>
      <c r="BW12" s="185"/>
      <c r="BX12" s="184">
        <v>0</v>
      </c>
      <c r="BY12" s="185"/>
      <c r="BZ12" s="154">
        <v>1</v>
      </c>
      <c r="CA12" s="185">
        <v>1</v>
      </c>
      <c r="CB12" s="130">
        <v>46</v>
      </c>
      <c r="CC12" s="130">
        <v>0</v>
      </c>
      <c r="CD12" s="130">
        <v>1059</v>
      </c>
      <c r="CE12" s="130">
        <v>13</v>
      </c>
      <c r="CF12" s="133">
        <v>1023</v>
      </c>
      <c r="CG12" s="134">
        <v>46</v>
      </c>
    </row>
    <row r="13" spans="1:85" x14ac:dyDescent="0.25">
      <c r="A13" s="14">
        <v>50</v>
      </c>
      <c r="B13" s="2" t="s">
        <v>53</v>
      </c>
      <c r="C13" s="15"/>
      <c r="D13" s="183"/>
      <c r="E13" s="150">
        <v>187</v>
      </c>
      <c r="F13" s="150">
        <v>-1</v>
      </c>
      <c r="G13" s="136">
        <v>-2</v>
      </c>
      <c r="H13" s="136"/>
      <c r="I13" s="136"/>
      <c r="J13" s="136">
        <v>-3</v>
      </c>
      <c r="K13" s="136"/>
      <c r="L13" s="136"/>
      <c r="M13" s="136">
        <v>-5</v>
      </c>
      <c r="N13" s="136"/>
      <c r="O13" s="136"/>
      <c r="P13" s="136"/>
      <c r="Q13" s="183">
        <v>-2</v>
      </c>
      <c r="R13" s="183"/>
      <c r="S13" s="183"/>
      <c r="T13" s="183"/>
      <c r="U13" s="183">
        <v>-1</v>
      </c>
      <c r="V13" s="183"/>
      <c r="W13" s="183"/>
      <c r="X13" s="131">
        <v>187</v>
      </c>
      <c r="Y13" s="131">
        <v>5</v>
      </c>
      <c r="Z13" s="130">
        <v>27</v>
      </c>
      <c r="AA13" s="130">
        <v>8</v>
      </c>
      <c r="AB13" s="130">
        <v>8</v>
      </c>
      <c r="AC13" s="130">
        <v>30</v>
      </c>
      <c r="AD13" s="130">
        <v>19</v>
      </c>
      <c r="AE13" s="130">
        <v>4</v>
      </c>
      <c r="AF13" s="130">
        <v>71</v>
      </c>
      <c r="AG13" s="130">
        <v>12</v>
      </c>
      <c r="AH13" s="185">
        <v>77</v>
      </c>
      <c r="AI13" s="185">
        <v>4</v>
      </c>
      <c r="AJ13" s="185">
        <v>4</v>
      </c>
      <c r="AK13" s="185">
        <v>19</v>
      </c>
      <c r="AL13" s="185">
        <v>2</v>
      </c>
      <c r="AM13" s="185">
        <v>1</v>
      </c>
      <c r="AN13" s="184">
        <v>1</v>
      </c>
      <c r="AO13" s="185">
        <v>4</v>
      </c>
      <c r="AP13" s="185">
        <v>1</v>
      </c>
      <c r="AQ13" s="185"/>
      <c r="AR13" s="184">
        <v>1</v>
      </c>
      <c r="AS13" s="185">
        <v>1</v>
      </c>
      <c r="AT13" s="185">
        <v>49</v>
      </c>
      <c r="AU13" s="169">
        <v>40</v>
      </c>
      <c r="AV13" s="184">
        <v>43</v>
      </c>
      <c r="AW13" s="184">
        <v>41</v>
      </c>
      <c r="AX13" s="154">
        <v>5</v>
      </c>
      <c r="AY13" s="185">
        <v>649</v>
      </c>
      <c r="AZ13" s="131">
        <v>11</v>
      </c>
      <c r="BA13" s="131">
        <v>3</v>
      </c>
      <c r="BB13" s="130">
        <v>1</v>
      </c>
      <c r="BC13" s="130">
        <v>2</v>
      </c>
      <c r="BD13" s="130">
        <v>-2</v>
      </c>
      <c r="BE13" s="130"/>
      <c r="BF13" s="130">
        <v>7</v>
      </c>
      <c r="BG13" s="130">
        <v>2</v>
      </c>
      <c r="BH13" s="130"/>
      <c r="BI13" s="130"/>
      <c r="BJ13" s="185"/>
      <c r="BK13" s="185">
        <v>6</v>
      </c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4"/>
      <c r="BW13" s="185"/>
      <c r="BX13" s="184"/>
      <c r="BY13" s="185">
        <v>1</v>
      </c>
      <c r="BZ13" s="154">
        <v>1</v>
      </c>
      <c r="CA13" s="185">
        <v>-1</v>
      </c>
      <c r="CB13" s="130">
        <v>21</v>
      </c>
      <c r="CC13" s="130">
        <v>1</v>
      </c>
      <c r="CD13" s="130">
        <v>670</v>
      </c>
      <c r="CE13" s="130">
        <v>12</v>
      </c>
      <c r="CF13" s="133">
        <v>660</v>
      </c>
      <c r="CG13" s="134">
        <v>22</v>
      </c>
    </row>
    <row r="14" spans="1:85" x14ac:dyDescent="0.25">
      <c r="A14" s="14">
        <v>13</v>
      </c>
      <c r="B14" s="2" t="s">
        <v>17</v>
      </c>
      <c r="C14" s="15"/>
      <c r="D14" s="183">
        <v>-3</v>
      </c>
      <c r="E14" s="150">
        <v>132</v>
      </c>
      <c r="F14" s="150"/>
      <c r="G14" s="136">
        <v>-1</v>
      </c>
      <c r="H14" s="136"/>
      <c r="I14" s="136"/>
      <c r="J14" s="136"/>
      <c r="K14" s="136"/>
      <c r="L14" s="136">
        <v>-2</v>
      </c>
      <c r="M14" s="136"/>
      <c r="N14" s="136"/>
      <c r="O14" s="136">
        <v>-1</v>
      </c>
      <c r="P14" s="136">
        <v>-3</v>
      </c>
      <c r="Q14" s="183">
        <v>-1</v>
      </c>
      <c r="R14" s="183">
        <v>-3</v>
      </c>
      <c r="S14" s="183">
        <v>-2</v>
      </c>
      <c r="T14" s="183"/>
      <c r="U14" s="183">
        <v>-2</v>
      </c>
      <c r="V14" s="183"/>
      <c r="W14" s="183">
        <v>-3</v>
      </c>
      <c r="X14" s="131">
        <v>235</v>
      </c>
      <c r="Y14" s="131">
        <v>4</v>
      </c>
      <c r="Z14" s="130">
        <v>16</v>
      </c>
      <c r="AA14" s="130">
        <v>4</v>
      </c>
      <c r="AB14" s="130">
        <v>27</v>
      </c>
      <c r="AC14" s="130">
        <v>48</v>
      </c>
      <c r="AD14" s="130">
        <v>24</v>
      </c>
      <c r="AE14" s="130">
        <v>59</v>
      </c>
      <c r="AF14" s="130">
        <v>20</v>
      </c>
      <c r="AG14" s="130">
        <v>16</v>
      </c>
      <c r="AH14" s="185">
        <v>14</v>
      </c>
      <c r="AI14" s="185">
        <v>29</v>
      </c>
      <c r="AJ14" s="185">
        <v>28</v>
      </c>
      <c r="AK14" s="185">
        <v>52</v>
      </c>
      <c r="AL14" s="185">
        <v>33</v>
      </c>
      <c r="AM14" s="185">
        <v>9</v>
      </c>
      <c r="AN14" s="169">
        <v>17</v>
      </c>
      <c r="AO14" s="185">
        <v>15</v>
      </c>
      <c r="AP14" s="185">
        <v>19</v>
      </c>
      <c r="AQ14" s="185">
        <v>19</v>
      </c>
      <c r="AR14" s="184">
        <v>3</v>
      </c>
      <c r="AS14" s="184">
        <v>50</v>
      </c>
      <c r="AT14" s="169">
        <v>20</v>
      </c>
      <c r="AU14" s="169">
        <v>24</v>
      </c>
      <c r="AV14" s="184">
        <v>6</v>
      </c>
      <c r="AW14" s="185">
        <v>17</v>
      </c>
      <c r="AX14" s="154">
        <v>15</v>
      </c>
      <c r="AY14" s="185">
        <v>805</v>
      </c>
      <c r="AZ14" s="131">
        <v>9</v>
      </c>
      <c r="BA14" s="131">
        <v>1</v>
      </c>
      <c r="BB14" s="130"/>
      <c r="BC14" s="130">
        <v>2</v>
      </c>
      <c r="BD14" s="130"/>
      <c r="BE14" s="130"/>
      <c r="BF14" s="130"/>
      <c r="BG14" s="130"/>
      <c r="BH14" s="130">
        <v>4</v>
      </c>
      <c r="BI14" s="130">
        <v>4</v>
      </c>
      <c r="BJ14" s="185"/>
      <c r="BK14" s="185"/>
      <c r="BL14" s="185">
        <v>2</v>
      </c>
      <c r="BM14" s="185">
        <v>4</v>
      </c>
      <c r="BN14" s="185">
        <v>-1</v>
      </c>
      <c r="BO14" s="185"/>
      <c r="BP14" s="185"/>
      <c r="BQ14" s="185"/>
      <c r="BR14" s="185">
        <v>1</v>
      </c>
      <c r="BS14" s="185"/>
      <c r="BT14" s="185"/>
      <c r="BU14" s="185">
        <v>1</v>
      </c>
      <c r="BV14" s="185"/>
      <c r="BW14" s="185">
        <v>2</v>
      </c>
      <c r="BX14" s="184">
        <v>2</v>
      </c>
      <c r="BY14" s="185"/>
      <c r="BZ14" s="154"/>
      <c r="CA14" s="185">
        <v>0</v>
      </c>
      <c r="CB14" s="130">
        <v>22</v>
      </c>
      <c r="CC14" s="130">
        <v>2</v>
      </c>
      <c r="CD14" s="130">
        <v>827</v>
      </c>
      <c r="CE14" s="130">
        <v>11</v>
      </c>
      <c r="CF14" s="133">
        <v>811</v>
      </c>
      <c r="CG14" s="134">
        <v>24</v>
      </c>
    </row>
    <row r="15" spans="1:85" x14ac:dyDescent="0.25">
      <c r="A15" s="14">
        <v>5</v>
      </c>
      <c r="B15" s="2" t="s">
        <v>9</v>
      </c>
      <c r="C15" s="15"/>
      <c r="D15" s="183">
        <v>-3</v>
      </c>
      <c r="E15" s="150">
        <v>448</v>
      </c>
      <c r="F15" s="150">
        <v>-10</v>
      </c>
      <c r="G15" s="136">
        <v>-6</v>
      </c>
      <c r="H15" s="136">
        <v>-15</v>
      </c>
      <c r="I15" s="136">
        <v>-4</v>
      </c>
      <c r="J15" s="136">
        <v>-6</v>
      </c>
      <c r="K15" s="136">
        <v>-12</v>
      </c>
      <c r="L15" s="136">
        <v>-1</v>
      </c>
      <c r="M15" s="136">
        <v>-4</v>
      </c>
      <c r="N15" s="136">
        <v>-9</v>
      </c>
      <c r="O15" s="136">
        <v>-11</v>
      </c>
      <c r="P15" s="136">
        <v>-6</v>
      </c>
      <c r="Q15" s="183">
        <v>-6</v>
      </c>
      <c r="R15" s="183">
        <v>-6</v>
      </c>
      <c r="S15" s="183">
        <v>-14</v>
      </c>
      <c r="T15" s="183">
        <v>-9</v>
      </c>
      <c r="U15" s="183">
        <v>-4</v>
      </c>
      <c r="V15" s="183">
        <v>-3</v>
      </c>
      <c r="W15" s="183">
        <v>-7</v>
      </c>
      <c r="X15" s="131">
        <v>490</v>
      </c>
      <c r="Y15" s="131">
        <v>116</v>
      </c>
      <c r="Z15" s="130">
        <v>53</v>
      </c>
      <c r="AA15" s="130">
        <v>37</v>
      </c>
      <c r="AB15" s="130">
        <v>78</v>
      </c>
      <c r="AC15" s="130">
        <v>39</v>
      </c>
      <c r="AD15" s="130">
        <v>99</v>
      </c>
      <c r="AE15" s="130">
        <v>23</v>
      </c>
      <c r="AF15" s="130">
        <v>50</v>
      </c>
      <c r="AG15" s="130">
        <v>40</v>
      </c>
      <c r="AH15" s="185">
        <v>113</v>
      </c>
      <c r="AI15" s="185">
        <v>35</v>
      </c>
      <c r="AJ15" s="185">
        <v>47</v>
      </c>
      <c r="AK15" s="185">
        <v>24</v>
      </c>
      <c r="AL15" s="185">
        <v>94</v>
      </c>
      <c r="AM15" s="185">
        <v>24</v>
      </c>
      <c r="AN15" s="185">
        <v>32</v>
      </c>
      <c r="AO15" s="185">
        <v>13</v>
      </c>
      <c r="AP15" s="185">
        <v>15</v>
      </c>
      <c r="AQ15" s="185">
        <v>12</v>
      </c>
      <c r="AR15" s="184">
        <v>12</v>
      </c>
      <c r="AS15" s="169">
        <v>2</v>
      </c>
      <c r="AT15" s="185">
        <v>8</v>
      </c>
      <c r="AU15" s="169">
        <v>13</v>
      </c>
      <c r="AV15" s="184">
        <v>1</v>
      </c>
      <c r="AW15" s="185">
        <v>10</v>
      </c>
      <c r="AX15" s="154">
        <v>0</v>
      </c>
      <c r="AY15" s="185">
        <v>1348</v>
      </c>
      <c r="AZ15" s="131">
        <v>10</v>
      </c>
      <c r="BA15" s="131">
        <v>6</v>
      </c>
      <c r="BB15" s="130">
        <v>1</v>
      </c>
      <c r="BC15" s="130">
        <v>2</v>
      </c>
      <c r="BD15" s="130">
        <v>0</v>
      </c>
      <c r="BE15" s="130">
        <v>3</v>
      </c>
      <c r="BF15" s="130">
        <v>3</v>
      </c>
      <c r="BG15" s="130"/>
      <c r="BH15" s="130"/>
      <c r="BI15" s="130"/>
      <c r="BJ15" s="185"/>
      <c r="BK15" s="185">
        <v>6</v>
      </c>
      <c r="BL15" s="185">
        <v>5</v>
      </c>
      <c r="BM15" s="185">
        <v>1</v>
      </c>
      <c r="BN15" s="185"/>
      <c r="BO15" s="185">
        <v>2</v>
      </c>
      <c r="BP15" s="185"/>
      <c r="BQ15" s="185"/>
      <c r="BR15" s="185"/>
      <c r="BS15" s="185"/>
      <c r="BT15" s="185"/>
      <c r="BU15" s="185">
        <v>2</v>
      </c>
      <c r="BV15" s="185">
        <v>1</v>
      </c>
      <c r="BW15" s="185">
        <v>1</v>
      </c>
      <c r="BX15" s="184"/>
      <c r="BY15" s="185"/>
      <c r="BZ15" s="154">
        <v>2</v>
      </c>
      <c r="CA15" s="185">
        <v>0</v>
      </c>
      <c r="CB15" s="130">
        <v>34</v>
      </c>
      <c r="CC15" s="130">
        <v>0</v>
      </c>
      <c r="CD15" s="130">
        <v>1382</v>
      </c>
      <c r="CE15" s="130">
        <v>10</v>
      </c>
      <c r="CF15" s="133">
        <v>1355</v>
      </c>
      <c r="CG15" s="134">
        <v>34</v>
      </c>
    </row>
    <row r="16" spans="1:85" x14ac:dyDescent="0.25">
      <c r="A16" s="14">
        <v>6</v>
      </c>
      <c r="B16" s="2" t="s">
        <v>10</v>
      </c>
      <c r="C16" s="22"/>
      <c r="D16" s="183">
        <v>-1</v>
      </c>
      <c r="E16" s="150">
        <v>249</v>
      </c>
      <c r="F16" s="150">
        <v>-2</v>
      </c>
      <c r="G16" s="136">
        <v>-7</v>
      </c>
      <c r="H16" s="136">
        <v>-6</v>
      </c>
      <c r="I16" s="136">
        <v>-8</v>
      </c>
      <c r="J16" s="136"/>
      <c r="K16" s="136">
        <v>-4</v>
      </c>
      <c r="L16" s="136">
        <v>-2</v>
      </c>
      <c r="M16" s="136">
        <v>-2</v>
      </c>
      <c r="N16" s="136">
        <v>-5</v>
      </c>
      <c r="O16" s="136">
        <v>-4</v>
      </c>
      <c r="P16" s="136">
        <v>-2</v>
      </c>
      <c r="Q16" s="183">
        <v>-5</v>
      </c>
      <c r="R16" s="183">
        <v>-2</v>
      </c>
      <c r="S16" s="183">
        <v>-4</v>
      </c>
      <c r="T16" s="183">
        <v>-5</v>
      </c>
      <c r="U16" s="183">
        <v>-1</v>
      </c>
      <c r="V16" s="183"/>
      <c r="W16" s="183">
        <v>-2</v>
      </c>
      <c r="X16" s="131">
        <v>249</v>
      </c>
      <c r="Y16" s="131">
        <v>10</v>
      </c>
      <c r="Z16" s="130">
        <v>34</v>
      </c>
      <c r="AA16" s="130">
        <v>103</v>
      </c>
      <c r="AB16" s="130">
        <v>68</v>
      </c>
      <c r="AC16" s="130">
        <v>2</v>
      </c>
      <c r="AD16" s="130">
        <v>54</v>
      </c>
      <c r="AE16" s="130">
        <v>73</v>
      </c>
      <c r="AF16" s="130">
        <v>17</v>
      </c>
      <c r="AG16" s="169">
        <v>20</v>
      </c>
      <c r="AH16" s="185">
        <v>38</v>
      </c>
      <c r="AI16" s="185">
        <v>26</v>
      </c>
      <c r="AJ16" s="185">
        <v>229</v>
      </c>
      <c r="AK16" s="185">
        <v>38</v>
      </c>
      <c r="AL16" s="185">
        <v>19</v>
      </c>
      <c r="AM16" s="185">
        <v>13</v>
      </c>
      <c r="AN16" s="173">
        <v>1</v>
      </c>
      <c r="AO16" s="169">
        <v>9</v>
      </c>
      <c r="AP16" s="185">
        <v>22</v>
      </c>
      <c r="AQ16" s="185">
        <v>14</v>
      </c>
      <c r="AR16" s="184">
        <v>4</v>
      </c>
      <c r="AS16" s="169">
        <v>9</v>
      </c>
      <c r="AT16" s="169">
        <v>0</v>
      </c>
      <c r="AU16" s="225">
        <v>2</v>
      </c>
      <c r="AV16" s="184">
        <v>0</v>
      </c>
      <c r="AW16" s="173">
        <v>5</v>
      </c>
      <c r="AX16" s="154">
        <v>48</v>
      </c>
      <c r="AY16" s="185">
        <v>1046</v>
      </c>
      <c r="AZ16" s="131">
        <v>8</v>
      </c>
      <c r="BA16" s="131">
        <v>1</v>
      </c>
      <c r="BB16" s="130"/>
      <c r="BC16" s="130"/>
      <c r="BD16" s="130">
        <v>-1</v>
      </c>
      <c r="BE16" s="130"/>
      <c r="BF16" s="130"/>
      <c r="BG16" s="130"/>
      <c r="BH16" s="130"/>
      <c r="BI16" s="130"/>
      <c r="BJ16" s="185"/>
      <c r="BK16" s="185"/>
      <c r="BL16" s="185"/>
      <c r="BM16" s="185">
        <v>2</v>
      </c>
      <c r="BN16" s="185">
        <v>1</v>
      </c>
      <c r="BO16" s="185"/>
      <c r="BP16" s="185"/>
      <c r="BQ16" s="169">
        <v>1</v>
      </c>
      <c r="BR16" s="185"/>
      <c r="BS16" s="185"/>
      <c r="BT16" s="185"/>
      <c r="BU16" s="185"/>
      <c r="BV16" s="185"/>
      <c r="BW16" s="224"/>
      <c r="BX16" s="184"/>
      <c r="BY16" s="185"/>
      <c r="BZ16" s="154">
        <v>1</v>
      </c>
      <c r="CA16" s="185">
        <v>1</v>
      </c>
      <c r="CB16" s="130">
        <v>6</v>
      </c>
      <c r="CC16" s="130">
        <v>2</v>
      </c>
      <c r="CD16" s="130">
        <v>1052</v>
      </c>
      <c r="CE16" s="130">
        <v>10</v>
      </c>
      <c r="CF16" s="133">
        <v>1053</v>
      </c>
      <c r="CG16" s="134">
        <v>8</v>
      </c>
    </row>
    <row r="17" spans="1:85" x14ac:dyDescent="0.25">
      <c r="A17" s="14">
        <v>26</v>
      </c>
      <c r="B17" s="2" t="s">
        <v>29</v>
      </c>
      <c r="C17" s="15"/>
      <c r="D17" s="183">
        <v>-2</v>
      </c>
      <c r="E17" s="150">
        <v>117</v>
      </c>
      <c r="F17" s="150"/>
      <c r="G17" s="136">
        <v>-1</v>
      </c>
      <c r="H17" s="136"/>
      <c r="I17" s="136"/>
      <c r="J17" s="136"/>
      <c r="K17" s="136">
        <v>-2</v>
      </c>
      <c r="L17" s="136"/>
      <c r="M17" s="136">
        <v>-1</v>
      </c>
      <c r="N17" s="136">
        <v>-2</v>
      </c>
      <c r="O17" s="136"/>
      <c r="P17" s="136"/>
      <c r="Q17" s="183"/>
      <c r="R17" s="183"/>
      <c r="S17" s="183">
        <v>-5</v>
      </c>
      <c r="T17" s="183">
        <v>-1</v>
      </c>
      <c r="U17" s="183"/>
      <c r="V17" s="183">
        <v>-1</v>
      </c>
      <c r="W17" s="183"/>
      <c r="X17" s="131">
        <v>135</v>
      </c>
      <c r="Y17" s="131">
        <v>21</v>
      </c>
      <c r="Z17" s="130">
        <v>4</v>
      </c>
      <c r="AA17" s="130">
        <v>3</v>
      </c>
      <c r="AB17" s="130">
        <v>15</v>
      </c>
      <c r="AC17" s="130">
        <v>39</v>
      </c>
      <c r="AD17" s="130">
        <v>35</v>
      </c>
      <c r="AE17" s="130">
        <v>22</v>
      </c>
      <c r="AF17" s="130">
        <v>4</v>
      </c>
      <c r="AG17" s="169">
        <v>8</v>
      </c>
      <c r="AH17" s="185">
        <v>3</v>
      </c>
      <c r="AI17" s="185">
        <v>4</v>
      </c>
      <c r="AJ17" s="185">
        <v>4</v>
      </c>
      <c r="AK17" s="185">
        <v>16</v>
      </c>
      <c r="AL17" s="185">
        <v>36</v>
      </c>
      <c r="AM17" s="185">
        <v>12</v>
      </c>
      <c r="AN17" s="185">
        <v>19</v>
      </c>
      <c r="AO17" s="185">
        <v>3</v>
      </c>
      <c r="AP17" s="185">
        <v>11</v>
      </c>
      <c r="AQ17" s="185">
        <v>5</v>
      </c>
      <c r="AR17" s="184">
        <v>14</v>
      </c>
      <c r="AS17" s="169">
        <v>3</v>
      </c>
      <c r="AT17" s="185">
        <v>0</v>
      </c>
      <c r="AU17" s="228">
        <v>19</v>
      </c>
      <c r="AV17" s="173">
        <v>2</v>
      </c>
      <c r="AW17" s="169">
        <v>2</v>
      </c>
      <c r="AX17" s="154">
        <v>1</v>
      </c>
      <c r="AY17" s="185">
        <v>427</v>
      </c>
      <c r="AZ17" s="131">
        <v>10</v>
      </c>
      <c r="BA17" s="131">
        <v>3</v>
      </c>
      <c r="BB17" s="130">
        <v>2</v>
      </c>
      <c r="BC17" s="130"/>
      <c r="BD17" s="130">
        <v>-1</v>
      </c>
      <c r="BE17" s="130"/>
      <c r="BF17" s="130"/>
      <c r="BG17" s="130">
        <v>1</v>
      </c>
      <c r="BH17" s="130"/>
      <c r="BI17" s="169">
        <v>1</v>
      </c>
      <c r="BJ17" s="185"/>
      <c r="BK17" s="185"/>
      <c r="BL17" s="185"/>
      <c r="BM17" s="185"/>
      <c r="BN17" s="185"/>
      <c r="BO17" s="185">
        <v>2</v>
      </c>
      <c r="BP17" s="185">
        <v>1</v>
      </c>
      <c r="BQ17" s="185"/>
      <c r="BR17" s="185"/>
      <c r="BS17" s="185"/>
      <c r="BT17" s="185"/>
      <c r="BU17" s="185"/>
      <c r="BV17" s="185"/>
      <c r="BW17" s="185"/>
      <c r="BX17" s="184"/>
      <c r="BY17" s="184"/>
      <c r="BZ17" s="154"/>
      <c r="CA17" s="185">
        <v>0</v>
      </c>
      <c r="CB17" s="130">
        <v>9</v>
      </c>
      <c r="CC17" s="130">
        <v>0</v>
      </c>
      <c r="CD17" s="130">
        <v>436</v>
      </c>
      <c r="CE17" s="130">
        <v>10</v>
      </c>
      <c r="CF17" s="133">
        <v>435</v>
      </c>
      <c r="CG17" s="134">
        <v>9</v>
      </c>
    </row>
    <row r="18" spans="1:85" x14ac:dyDescent="0.25">
      <c r="A18" s="14">
        <v>56</v>
      </c>
      <c r="B18" s="2" t="s">
        <v>59</v>
      </c>
      <c r="C18" s="22"/>
      <c r="D18" s="183">
        <v>-1</v>
      </c>
      <c r="E18" s="150">
        <v>138</v>
      </c>
      <c r="F18" s="150">
        <v>-1</v>
      </c>
      <c r="G18" s="136">
        <v>-1</v>
      </c>
      <c r="H18" s="136"/>
      <c r="I18" s="136"/>
      <c r="J18" s="136">
        <v>-1</v>
      </c>
      <c r="K18" s="136">
        <v>-13</v>
      </c>
      <c r="L18" s="136">
        <v>-2</v>
      </c>
      <c r="M18" s="136"/>
      <c r="N18" s="136"/>
      <c r="O18" s="136">
        <v>-2</v>
      </c>
      <c r="P18" s="136">
        <v>-1</v>
      </c>
      <c r="Q18" s="183">
        <v>-2</v>
      </c>
      <c r="R18" s="183"/>
      <c r="S18" s="183"/>
      <c r="T18" s="183">
        <v>-1</v>
      </c>
      <c r="U18" s="183"/>
      <c r="V18" s="183"/>
      <c r="W18" s="183">
        <v>-1</v>
      </c>
      <c r="X18" s="131">
        <v>144</v>
      </c>
      <c r="Y18" s="131">
        <v>4</v>
      </c>
      <c r="Z18" s="130">
        <v>15</v>
      </c>
      <c r="AA18" s="130">
        <v>9</v>
      </c>
      <c r="AB18" s="130">
        <v>15</v>
      </c>
      <c r="AC18" s="130">
        <v>14</v>
      </c>
      <c r="AD18" s="130">
        <v>33</v>
      </c>
      <c r="AE18" s="130">
        <v>88</v>
      </c>
      <c r="AF18" s="130">
        <v>8</v>
      </c>
      <c r="AG18" s="130">
        <v>6</v>
      </c>
      <c r="AH18" s="185">
        <v>13</v>
      </c>
      <c r="AI18" s="185">
        <v>32</v>
      </c>
      <c r="AJ18" s="185">
        <v>11</v>
      </c>
      <c r="AK18" s="185">
        <v>8</v>
      </c>
      <c r="AL18" s="185">
        <v>8</v>
      </c>
      <c r="AM18" s="185">
        <v>13</v>
      </c>
      <c r="AN18" s="169">
        <v>3</v>
      </c>
      <c r="AO18" s="185"/>
      <c r="AP18" s="185">
        <v>4</v>
      </c>
      <c r="AQ18" s="185">
        <v>7</v>
      </c>
      <c r="AR18" s="184">
        <v>0</v>
      </c>
      <c r="AS18" s="184">
        <v>6</v>
      </c>
      <c r="AT18" s="185">
        <v>0</v>
      </c>
      <c r="AU18" s="169">
        <v>9</v>
      </c>
      <c r="AV18" s="184">
        <v>3</v>
      </c>
      <c r="AW18" s="184">
        <v>5</v>
      </c>
      <c r="AX18" s="154">
        <v>4</v>
      </c>
      <c r="AY18" s="185">
        <v>437</v>
      </c>
      <c r="AZ18" s="131">
        <v>6</v>
      </c>
      <c r="BA18" s="131">
        <v>3</v>
      </c>
      <c r="BB18" s="130"/>
      <c r="BC18" s="130"/>
      <c r="BD18" s="130">
        <v>-1</v>
      </c>
      <c r="BE18" s="130"/>
      <c r="BF18" s="130">
        <v>13</v>
      </c>
      <c r="BG18" s="130">
        <v>16</v>
      </c>
      <c r="BH18" s="130">
        <v>39</v>
      </c>
      <c r="BI18" s="130">
        <v>5</v>
      </c>
      <c r="BJ18" s="185">
        <v>1</v>
      </c>
      <c r="BK18" s="185">
        <v>1</v>
      </c>
      <c r="BL18" s="185">
        <v>7</v>
      </c>
      <c r="BM18" s="185">
        <v>4</v>
      </c>
      <c r="BN18" s="185"/>
      <c r="BO18" s="185"/>
      <c r="BP18" s="185">
        <v>10</v>
      </c>
      <c r="BQ18" s="185"/>
      <c r="BR18" s="185">
        <v>2</v>
      </c>
      <c r="BS18" s="185">
        <v>3</v>
      </c>
      <c r="BT18" s="185"/>
      <c r="BU18" s="185">
        <v>1</v>
      </c>
      <c r="BV18" s="185">
        <v>6</v>
      </c>
      <c r="BW18" s="185">
        <v>1</v>
      </c>
      <c r="BX18" s="184">
        <v>-2</v>
      </c>
      <c r="BY18" s="185"/>
      <c r="BZ18" s="154">
        <v>1</v>
      </c>
      <c r="CA18" s="185"/>
      <c r="CB18" s="130">
        <v>110</v>
      </c>
      <c r="CC18" s="130">
        <v>3</v>
      </c>
      <c r="CD18" s="130">
        <v>547</v>
      </c>
      <c r="CE18" s="130">
        <v>9</v>
      </c>
      <c r="CF18" s="133">
        <v>442</v>
      </c>
      <c r="CG18" s="134">
        <v>113</v>
      </c>
    </row>
    <row r="19" spans="1:85" x14ac:dyDescent="0.25">
      <c r="A19" s="14">
        <v>49</v>
      </c>
      <c r="B19" s="2" t="s">
        <v>52</v>
      </c>
      <c r="C19" s="15"/>
      <c r="D19" s="183">
        <v>-1</v>
      </c>
      <c r="E19" s="150">
        <v>66</v>
      </c>
      <c r="F19" s="150"/>
      <c r="G19" s="136">
        <v>-2</v>
      </c>
      <c r="H19" s="136"/>
      <c r="I19" s="136"/>
      <c r="J19" s="136">
        <v>-1</v>
      </c>
      <c r="K19" s="136"/>
      <c r="L19" s="136"/>
      <c r="M19" s="136">
        <v>-2</v>
      </c>
      <c r="N19" s="136"/>
      <c r="O19" s="136"/>
      <c r="P19" s="136"/>
      <c r="Q19" s="183"/>
      <c r="R19" s="183"/>
      <c r="S19" s="183"/>
      <c r="T19" s="183"/>
      <c r="U19" s="183"/>
      <c r="V19" s="183"/>
      <c r="W19" s="183"/>
      <c r="X19" s="131">
        <v>66</v>
      </c>
      <c r="Y19" s="131">
        <v>5</v>
      </c>
      <c r="Z19" s="130">
        <v>22</v>
      </c>
      <c r="AA19" s="130">
        <v>22</v>
      </c>
      <c r="AB19" s="130">
        <v>36</v>
      </c>
      <c r="AC19" s="130">
        <v>15</v>
      </c>
      <c r="AD19" s="130">
        <v>7</v>
      </c>
      <c r="AE19" s="130">
        <v>6</v>
      </c>
      <c r="AF19" s="130">
        <v>10</v>
      </c>
      <c r="AG19" s="130"/>
      <c r="AH19" s="185">
        <v>1</v>
      </c>
      <c r="AI19" s="185">
        <v>5</v>
      </c>
      <c r="AJ19" s="185">
        <v>1</v>
      </c>
      <c r="AK19" s="185"/>
      <c r="AL19" s="185">
        <v>1</v>
      </c>
      <c r="AM19" s="185">
        <v>4</v>
      </c>
      <c r="AN19" s="185">
        <v>8</v>
      </c>
      <c r="AO19" s="185">
        <v>4</v>
      </c>
      <c r="AP19" s="185">
        <v>1</v>
      </c>
      <c r="AQ19" s="185">
        <v>2</v>
      </c>
      <c r="AR19" s="185">
        <v>3</v>
      </c>
      <c r="AS19" s="185">
        <v>3</v>
      </c>
      <c r="AT19" s="185">
        <v>18</v>
      </c>
      <c r="AU19" s="185">
        <v>2</v>
      </c>
      <c r="AV19" s="184">
        <v>11</v>
      </c>
      <c r="AW19" s="169">
        <v>3</v>
      </c>
      <c r="AX19" s="154">
        <v>13</v>
      </c>
      <c r="AY19" s="185">
        <v>264</v>
      </c>
      <c r="AZ19" s="131">
        <v>7</v>
      </c>
      <c r="BA19" s="131"/>
      <c r="BB19" s="130"/>
      <c r="BC19" s="130">
        <v>2</v>
      </c>
      <c r="BD19" s="130"/>
      <c r="BE19" s="130"/>
      <c r="BF19" s="130">
        <v>1</v>
      </c>
      <c r="BG19" s="130">
        <v>1</v>
      </c>
      <c r="BH19" s="130"/>
      <c r="BI19" s="130">
        <v>1</v>
      </c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4"/>
      <c r="BX19" s="184"/>
      <c r="BY19" s="185">
        <v>1</v>
      </c>
      <c r="BZ19" s="154">
        <v>1</v>
      </c>
      <c r="CA19" s="185">
        <v>0</v>
      </c>
      <c r="CB19" s="130">
        <v>7</v>
      </c>
      <c r="CC19" s="130">
        <v>1</v>
      </c>
      <c r="CD19" s="130">
        <v>271</v>
      </c>
      <c r="CE19" s="130">
        <v>8</v>
      </c>
      <c r="CF19" s="133">
        <v>270</v>
      </c>
      <c r="CG19" s="134">
        <v>8</v>
      </c>
    </row>
    <row r="20" spans="1:85" x14ac:dyDescent="0.25">
      <c r="A20" s="14">
        <v>72</v>
      </c>
      <c r="B20" s="2" t="s">
        <v>75</v>
      </c>
      <c r="C20" s="22"/>
      <c r="D20" s="183">
        <v>-1</v>
      </c>
      <c r="E20" s="150">
        <v>47</v>
      </c>
      <c r="F20" s="150">
        <v>-1</v>
      </c>
      <c r="G20" s="136"/>
      <c r="H20" s="136"/>
      <c r="I20" s="136">
        <v>-1</v>
      </c>
      <c r="J20" s="136">
        <v>-2</v>
      </c>
      <c r="K20" s="136"/>
      <c r="L20" s="136"/>
      <c r="M20" s="136"/>
      <c r="N20" s="136">
        <v>-1</v>
      </c>
      <c r="O20" s="136">
        <v>-1</v>
      </c>
      <c r="P20" s="136">
        <v>-3</v>
      </c>
      <c r="Q20" s="183">
        <v>-2</v>
      </c>
      <c r="R20" s="183"/>
      <c r="S20" s="183"/>
      <c r="T20" s="183"/>
      <c r="U20" s="183"/>
      <c r="V20" s="183">
        <v>-1</v>
      </c>
      <c r="W20" s="183"/>
      <c r="X20" s="131">
        <v>76</v>
      </c>
      <c r="Y20" s="131">
        <v>28</v>
      </c>
      <c r="Z20" s="130">
        <v>8</v>
      </c>
      <c r="AA20" s="130">
        <v>1</v>
      </c>
      <c r="AB20" s="130">
        <v>15</v>
      </c>
      <c r="AC20" s="130">
        <v>2</v>
      </c>
      <c r="AD20" s="130">
        <v>3</v>
      </c>
      <c r="AE20" s="130">
        <v>4</v>
      </c>
      <c r="AF20" s="130">
        <v>2</v>
      </c>
      <c r="AG20" s="130">
        <v>20</v>
      </c>
      <c r="AH20" s="185">
        <v>5</v>
      </c>
      <c r="AI20" s="185">
        <v>7</v>
      </c>
      <c r="AJ20" s="185">
        <v>16</v>
      </c>
      <c r="AK20" s="185">
        <v>9</v>
      </c>
      <c r="AL20" s="185">
        <v>15</v>
      </c>
      <c r="AM20" s="185">
        <v>1</v>
      </c>
      <c r="AN20" s="185">
        <v>-1</v>
      </c>
      <c r="AO20" s="185">
        <v>4</v>
      </c>
      <c r="AP20" s="185">
        <v>1</v>
      </c>
      <c r="AQ20" s="185">
        <v>11</v>
      </c>
      <c r="AR20" s="169">
        <v>3</v>
      </c>
      <c r="AS20" s="185">
        <v>10</v>
      </c>
      <c r="AT20" s="185">
        <v>6</v>
      </c>
      <c r="AU20" s="185">
        <v>8</v>
      </c>
      <c r="AV20" s="184">
        <v>1</v>
      </c>
      <c r="AW20" s="185">
        <v>0</v>
      </c>
      <c r="AX20" s="154">
        <v>1</v>
      </c>
      <c r="AY20" s="185">
        <v>244</v>
      </c>
      <c r="AZ20" s="131">
        <v>7</v>
      </c>
      <c r="BA20" s="131"/>
      <c r="BB20" s="130">
        <v>1</v>
      </c>
      <c r="BC20" s="130"/>
      <c r="BD20" s="130"/>
      <c r="BE20" s="130"/>
      <c r="BF20" s="130"/>
      <c r="BG20" s="130">
        <v>2</v>
      </c>
      <c r="BH20" s="130"/>
      <c r="BI20" s="130"/>
      <c r="BJ20" s="185"/>
      <c r="BK20" s="185"/>
      <c r="BL20" s="185"/>
      <c r="BM20" s="185">
        <v>4</v>
      </c>
      <c r="BN20" s="185"/>
      <c r="BO20" s="185">
        <v>5</v>
      </c>
      <c r="BP20" s="185">
        <v>2</v>
      </c>
      <c r="BQ20" s="185">
        <v>1</v>
      </c>
      <c r="BR20" s="185"/>
      <c r="BS20" s="185"/>
      <c r="BT20" s="185">
        <v>1</v>
      </c>
      <c r="BU20" s="185"/>
      <c r="BV20" s="185"/>
      <c r="BW20" s="185"/>
      <c r="BX20" s="185"/>
      <c r="BY20" s="184"/>
      <c r="BZ20" s="154"/>
      <c r="CA20" s="185"/>
      <c r="CB20" s="130">
        <v>16</v>
      </c>
      <c r="CC20" s="130">
        <v>1</v>
      </c>
      <c r="CD20" s="130">
        <v>260</v>
      </c>
      <c r="CE20" s="130">
        <v>8</v>
      </c>
      <c r="CF20" s="133">
        <v>250</v>
      </c>
      <c r="CG20" s="134">
        <v>17</v>
      </c>
    </row>
    <row r="21" spans="1:85" x14ac:dyDescent="0.25">
      <c r="A21" s="14">
        <v>75</v>
      </c>
      <c r="B21" s="2" t="s">
        <v>78</v>
      </c>
      <c r="C21" s="15"/>
      <c r="D21" s="183">
        <v>-6</v>
      </c>
      <c r="E21" s="150">
        <v>112</v>
      </c>
      <c r="F21" s="150"/>
      <c r="G21" s="136"/>
      <c r="H21" s="136">
        <v>-2</v>
      </c>
      <c r="I21" s="136"/>
      <c r="J21" s="136"/>
      <c r="K21" s="136">
        <v>-1</v>
      </c>
      <c r="L21" s="136"/>
      <c r="M21" s="136">
        <v>-1</v>
      </c>
      <c r="N21" s="136">
        <v>-3</v>
      </c>
      <c r="O21" s="136">
        <v>-1</v>
      </c>
      <c r="P21" s="136">
        <v>-6</v>
      </c>
      <c r="Q21" s="183"/>
      <c r="R21" s="183"/>
      <c r="S21" s="183">
        <v>-1</v>
      </c>
      <c r="T21" s="183"/>
      <c r="U21" s="183"/>
      <c r="V21" s="183">
        <v>-2</v>
      </c>
      <c r="W21" s="183"/>
      <c r="X21" s="131">
        <v>111</v>
      </c>
      <c r="Y21" s="131">
        <v>6</v>
      </c>
      <c r="Z21" s="130"/>
      <c r="AA21" s="130">
        <v>60</v>
      </c>
      <c r="AB21" s="130">
        <v>8</v>
      </c>
      <c r="AC21" s="130">
        <v>11</v>
      </c>
      <c r="AD21" s="130">
        <v>6</v>
      </c>
      <c r="AE21" s="130">
        <v>6</v>
      </c>
      <c r="AF21" s="130">
        <v>9</v>
      </c>
      <c r="AG21" s="130">
        <v>5</v>
      </c>
      <c r="AH21" s="185">
        <v>5</v>
      </c>
      <c r="AI21" s="185">
        <v>15</v>
      </c>
      <c r="AJ21" s="185">
        <v>1</v>
      </c>
      <c r="AK21" s="185">
        <v>4</v>
      </c>
      <c r="AL21" s="185">
        <v>2</v>
      </c>
      <c r="AM21" s="185">
        <v>1</v>
      </c>
      <c r="AN21" s="184">
        <v>1</v>
      </c>
      <c r="AO21" s="185"/>
      <c r="AP21" s="185">
        <v>19</v>
      </c>
      <c r="AQ21" s="185">
        <v>2</v>
      </c>
      <c r="AR21" s="184">
        <v>4</v>
      </c>
      <c r="AS21" s="184">
        <v>3</v>
      </c>
      <c r="AT21" s="185">
        <v>1</v>
      </c>
      <c r="AU21" s="169">
        <v>3</v>
      </c>
      <c r="AV21" s="184"/>
      <c r="AW21" s="173">
        <v>5</v>
      </c>
      <c r="AX21" s="154">
        <v>0</v>
      </c>
      <c r="AY21" s="185">
        <v>271</v>
      </c>
      <c r="AZ21" s="131">
        <v>8</v>
      </c>
      <c r="BA21" s="131">
        <v>6</v>
      </c>
      <c r="BB21" s="130">
        <v>1</v>
      </c>
      <c r="BC21" s="130"/>
      <c r="BD21" s="130">
        <v>-7</v>
      </c>
      <c r="BE21" s="130">
        <v>1</v>
      </c>
      <c r="BF21" s="130">
        <v>1</v>
      </c>
      <c r="BG21" s="130">
        <v>1</v>
      </c>
      <c r="BH21" s="130"/>
      <c r="BI21" s="130">
        <v>1</v>
      </c>
      <c r="BJ21" s="185">
        <v>1</v>
      </c>
      <c r="BK21" s="185">
        <v>2</v>
      </c>
      <c r="BL21" s="185"/>
      <c r="BM21" s="185">
        <v>1</v>
      </c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4"/>
      <c r="BY21" s="185"/>
      <c r="BZ21" s="154"/>
      <c r="CA21" s="185"/>
      <c r="CB21" s="130">
        <v>8</v>
      </c>
      <c r="CC21" s="130">
        <v>0</v>
      </c>
      <c r="CD21" s="130">
        <v>279</v>
      </c>
      <c r="CE21" s="130">
        <v>8</v>
      </c>
      <c r="CF21" s="133">
        <v>273</v>
      </c>
      <c r="CG21" s="134">
        <v>8</v>
      </c>
    </row>
    <row r="22" spans="1:85" x14ac:dyDescent="0.25">
      <c r="A22" s="14">
        <v>9</v>
      </c>
      <c r="B22" s="2" t="s">
        <v>13</v>
      </c>
      <c r="C22" s="15"/>
      <c r="D22" s="183">
        <v>-1</v>
      </c>
      <c r="E22" s="150">
        <v>34</v>
      </c>
      <c r="F22" s="150"/>
      <c r="G22" s="136"/>
      <c r="H22" s="136"/>
      <c r="I22" s="136"/>
      <c r="J22" s="136">
        <v>-4</v>
      </c>
      <c r="K22" s="136">
        <v>-1</v>
      </c>
      <c r="L22" s="136"/>
      <c r="M22" s="136"/>
      <c r="N22" s="136"/>
      <c r="O22" s="136">
        <v>-1</v>
      </c>
      <c r="P22" s="136"/>
      <c r="Q22" s="183"/>
      <c r="R22" s="183"/>
      <c r="S22" s="183"/>
      <c r="T22" s="183"/>
      <c r="U22" s="183"/>
      <c r="V22" s="183"/>
      <c r="W22" s="183"/>
      <c r="X22" s="131">
        <v>39</v>
      </c>
      <c r="Y22" s="131">
        <v>5</v>
      </c>
      <c r="Z22" s="130">
        <v>4</v>
      </c>
      <c r="AA22" s="130">
        <v>1</v>
      </c>
      <c r="AB22" s="130">
        <v>1</v>
      </c>
      <c r="AC22" s="130">
        <v>50</v>
      </c>
      <c r="AD22" s="130">
        <v>52</v>
      </c>
      <c r="AE22" s="130">
        <v>8</v>
      </c>
      <c r="AF22" s="130">
        <v>6</v>
      </c>
      <c r="AG22" s="130">
        <v>1</v>
      </c>
      <c r="AH22" s="185">
        <v>5</v>
      </c>
      <c r="AI22" s="185">
        <v>2</v>
      </c>
      <c r="AJ22" s="185"/>
      <c r="AK22" s="185">
        <v>2</v>
      </c>
      <c r="AL22" s="185">
        <v>1</v>
      </c>
      <c r="AM22" s="185">
        <v>3</v>
      </c>
      <c r="AN22" s="184">
        <v>1</v>
      </c>
      <c r="AO22" s="185"/>
      <c r="AP22" s="185">
        <v>1</v>
      </c>
      <c r="AQ22" s="185">
        <v>1</v>
      </c>
      <c r="AR22" s="185">
        <v>1</v>
      </c>
      <c r="AS22" s="173">
        <v>3</v>
      </c>
      <c r="AT22" s="185">
        <v>4</v>
      </c>
      <c r="AU22" s="169">
        <v>3</v>
      </c>
      <c r="AV22" s="184">
        <v>1</v>
      </c>
      <c r="AW22" s="169">
        <v>1</v>
      </c>
      <c r="AX22" s="154">
        <v>19</v>
      </c>
      <c r="AY22" s="185">
        <v>209</v>
      </c>
      <c r="AZ22" s="131">
        <v>6</v>
      </c>
      <c r="BA22" s="131"/>
      <c r="BB22" s="130"/>
      <c r="BC22" s="130"/>
      <c r="BD22" s="130"/>
      <c r="BE22" s="130"/>
      <c r="BF22" s="130"/>
      <c r="BG22" s="130"/>
      <c r="BH22" s="130"/>
      <c r="BI22" s="130"/>
      <c r="BJ22" s="185">
        <v>1</v>
      </c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4"/>
      <c r="BX22" s="184"/>
      <c r="BY22" s="185"/>
      <c r="BZ22" s="154"/>
      <c r="CA22" s="185">
        <v>0</v>
      </c>
      <c r="CB22" s="130">
        <v>1</v>
      </c>
      <c r="CC22" s="130">
        <v>0</v>
      </c>
      <c r="CD22" s="130">
        <v>210</v>
      </c>
      <c r="CE22" s="130">
        <v>6</v>
      </c>
      <c r="CF22" s="133">
        <v>214</v>
      </c>
      <c r="CG22" s="134">
        <v>1</v>
      </c>
    </row>
    <row r="23" spans="1:85" x14ac:dyDescent="0.25">
      <c r="A23" s="14">
        <v>11</v>
      </c>
      <c r="B23" s="2" t="s">
        <v>15</v>
      </c>
      <c r="C23" s="15"/>
      <c r="D23" s="183"/>
      <c r="E23" s="150">
        <v>73</v>
      </c>
      <c r="F23" s="150"/>
      <c r="G23" s="136"/>
      <c r="H23" s="136"/>
      <c r="I23" s="136"/>
      <c r="J23" s="136"/>
      <c r="K23" s="136">
        <v>-1</v>
      </c>
      <c r="L23" s="136"/>
      <c r="M23" s="136"/>
      <c r="N23" s="136">
        <v>-1</v>
      </c>
      <c r="O23" s="136"/>
      <c r="P23" s="136"/>
      <c r="Q23" s="183"/>
      <c r="R23" s="183">
        <v>-4</v>
      </c>
      <c r="S23" s="183"/>
      <c r="T23" s="183"/>
      <c r="U23" s="183"/>
      <c r="V23" s="183"/>
      <c r="W23" s="183"/>
      <c r="X23" s="131">
        <v>93</v>
      </c>
      <c r="Y23" s="131">
        <v>1</v>
      </c>
      <c r="Z23" s="130"/>
      <c r="AA23" s="130">
        <v>3</v>
      </c>
      <c r="AB23" s="130">
        <v>2</v>
      </c>
      <c r="AC23" s="130">
        <v>1</v>
      </c>
      <c r="AD23" s="130">
        <v>37</v>
      </c>
      <c r="AE23" s="130">
        <v>1</v>
      </c>
      <c r="AF23" s="130">
        <v>13</v>
      </c>
      <c r="AG23" s="130">
        <v>15</v>
      </c>
      <c r="AH23" s="185">
        <v>8</v>
      </c>
      <c r="AI23" s="185">
        <v>1</v>
      </c>
      <c r="AJ23" s="185">
        <v>8</v>
      </c>
      <c r="AK23" s="185">
        <v>10</v>
      </c>
      <c r="AL23" s="169">
        <v>12</v>
      </c>
      <c r="AM23" s="185">
        <v>12</v>
      </c>
      <c r="AN23" s="184">
        <v>1</v>
      </c>
      <c r="AO23" s="169"/>
      <c r="AP23" s="185">
        <v>1</v>
      </c>
      <c r="AQ23" s="185">
        <v>2</v>
      </c>
      <c r="AR23" s="228">
        <v>1</v>
      </c>
      <c r="AS23" s="184">
        <v>2</v>
      </c>
      <c r="AT23" s="169">
        <v>36</v>
      </c>
      <c r="AU23" s="228">
        <v>35</v>
      </c>
      <c r="AV23" s="184">
        <v>2</v>
      </c>
      <c r="AW23" s="185">
        <v>2</v>
      </c>
      <c r="AX23" s="154">
        <v>10</v>
      </c>
      <c r="AY23" s="185">
        <v>303</v>
      </c>
      <c r="AZ23" s="131">
        <v>6</v>
      </c>
      <c r="BA23" s="131">
        <v>1</v>
      </c>
      <c r="BB23" s="130"/>
      <c r="BC23" s="130"/>
      <c r="BD23" s="130">
        <v>-1</v>
      </c>
      <c r="BE23" s="130"/>
      <c r="BF23" s="130"/>
      <c r="BG23" s="130">
        <v>1</v>
      </c>
      <c r="BH23" s="130"/>
      <c r="BI23" s="130"/>
      <c r="BJ23" s="185"/>
      <c r="BK23" s="185"/>
      <c r="BL23" s="185"/>
      <c r="BM23" s="185"/>
      <c r="BN23" s="169"/>
      <c r="BO23" s="185"/>
      <c r="BP23" s="185">
        <v>1</v>
      </c>
      <c r="BQ23" s="169">
        <v>1</v>
      </c>
      <c r="BR23" s="185"/>
      <c r="BS23" s="185"/>
      <c r="BT23" s="227"/>
      <c r="BU23" s="185"/>
      <c r="BV23" s="185"/>
      <c r="BW23" s="228"/>
      <c r="BX23" s="184">
        <v>1</v>
      </c>
      <c r="BY23" s="185"/>
      <c r="BZ23" s="154"/>
      <c r="CA23" s="185">
        <v>0</v>
      </c>
      <c r="CB23" s="130">
        <v>4</v>
      </c>
      <c r="CC23" s="130">
        <v>0</v>
      </c>
      <c r="CD23" s="130">
        <v>307</v>
      </c>
      <c r="CE23" s="130">
        <v>6</v>
      </c>
      <c r="CF23" s="133">
        <v>309</v>
      </c>
      <c r="CG23" s="134">
        <v>4</v>
      </c>
    </row>
    <row r="24" spans="1:85" x14ac:dyDescent="0.25">
      <c r="A24" s="14">
        <v>21</v>
      </c>
      <c r="B24" s="2" t="s">
        <v>24</v>
      </c>
      <c r="C24" s="15"/>
      <c r="D24" s="183">
        <v>-1</v>
      </c>
      <c r="E24" s="150">
        <v>161</v>
      </c>
      <c r="F24" s="150">
        <v>-1</v>
      </c>
      <c r="G24" s="136"/>
      <c r="H24" s="136">
        <v>-2</v>
      </c>
      <c r="I24" s="136">
        <v>-7</v>
      </c>
      <c r="J24" s="136"/>
      <c r="K24" s="136"/>
      <c r="L24" s="136"/>
      <c r="M24" s="136">
        <v>-2</v>
      </c>
      <c r="N24" s="136">
        <v>-2</v>
      </c>
      <c r="O24" s="136"/>
      <c r="P24" s="136">
        <v>-1</v>
      </c>
      <c r="Q24" s="183">
        <v>-3</v>
      </c>
      <c r="R24" s="183">
        <v>-4</v>
      </c>
      <c r="S24" s="183">
        <v>-7</v>
      </c>
      <c r="T24" s="183"/>
      <c r="U24" s="183"/>
      <c r="V24" s="183"/>
      <c r="W24" s="183"/>
      <c r="X24" s="131">
        <v>159</v>
      </c>
      <c r="Y24" s="131">
        <v>1</v>
      </c>
      <c r="Z24" s="130">
        <v>5</v>
      </c>
      <c r="AA24" s="130">
        <v>13</v>
      </c>
      <c r="AB24" s="130">
        <v>45</v>
      </c>
      <c r="AC24" s="130">
        <v>19</v>
      </c>
      <c r="AD24" s="130"/>
      <c r="AE24" s="130">
        <v>14</v>
      </c>
      <c r="AF24" s="130">
        <v>15</v>
      </c>
      <c r="AG24" s="130">
        <v>15</v>
      </c>
      <c r="AH24" s="185">
        <v>12</v>
      </c>
      <c r="AI24" s="185">
        <v>11</v>
      </c>
      <c r="AJ24" s="185">
        <v>21</v>
      </c>
      <c r="AK24" s="185">
        <v>14</v>
      </c>
      <c r="AL24" s="185">
        <v>22</v>
      </c>
      <c r="AM24" s="185">
        <v>7</v>
      </c>
      <c r="AN24" s="184">
        <v>6</v>
      </c>
      <c r="AO24" s="185">
        <v>3</v>
      </c>
      <c r="AP24" s="185">
        <v>1</v>
      </c>
      <c r="AQ24" s="185">
        <v>7</v>
      </c>
      <c r="AR24" s="184">
        <v>2</v>
      </c>
      <c r="AS24" s="184">
        <v>3</v>
      </c>
      <c r="AT24" s="185">
        <v>0</v>
      </c>
      <c r="AU24" s="185">
        <v>44</v>
      </c>
      <c r="AV24" s="184">
        <v>1</v>
      </c>
      <c r="AW24" s="185">
        <v>2</v>
      </c>
      <c r="AX24" s="154">
        <v>0</v>
      </c>
      <c r="AY24" s="185">
        <v>413</v>
      </c>
      <c r="AZ24" s="131">
        <v>6</v>
      </c>
      <c r="BA24" s="131">
        <v>4</v>
      </c>
      <c r="BB24" s="130"/>
      <c r="BC24" s="130"/>
      <c r="BD24" s="130"/>
      <c r="BE24" s="130"/>
      <c r="BF24" s="130">
        <v>2</v>
      </c>
      <c r="BG24" s="130"/>
      <c r="BH24" s="130"/>
      <c r="BI24" s="130"/>
      <c r="BJ24" s="185">
        <v>4</v>
      </c>
      <c r="BK24" s="185">
        <v>1</v>
      </c>
      <c r="BL24" s="185"/>
      <c r="BM24" s="185">
        <v>4</v>
      </c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4"/>
      <c r="BY24" s="185"/>
      <c r="BZ24" s="154"/>
      <c r="CA24" s="185">
        <v>0</v>
      </c>
      <c r="CB24" s="130">
        <v>15</v>
      </c>
      <c r="CC24" s="130">
        <v>0</v>
      </c>
      <c r="CD24" s="130">
        <v>428</v>
      </c>
      <c r="CE24" s="130">
        <v>6</v>
      </c>
      <c r="CF24" s="133">
        <v>418</v>
      </c>
      <c r="CG24" s="134">
        <v>15</v>
      </c>
    </row>
    <row r="25" spans="1:85" x14ac:dyDescent="0.25">
      <c r="A25" s="14">
        <v>31</v>
      </c>
      <c r="B25" s="2" t="s">
        <v>34</v>
      </c>
      <c r="C25" s="15"/>
      <c r="D25" s="183">
        <v>-1</v>
      </c>
      <c r="E25" s="150">
        <v>55</v>
      </c>
      <c r="F25" s="150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83"/>
      <c r="R25" s="183">
        <v>-1</v>
      </c>
      <c r="S25" s="183"/>
      <c r="T25" s="183"/>
      <c r="U25" s="183"/>
      <c r="V25" s="183"/>
      <c r="W25" s="183"/>
      <c r="X25" s="131">
        <v>55</v>
      </c>
      <c r="Y25" s="131">
        <v>8</v>
      </c>
      <c r="Z25" s="130">
        <v>3</v>
      </c>
      <c r="AA25" s="130">
        <v>6</v>
      </c>
      <c r="AB25" s="130">
        <v>11</v>
      </c>
      <c r="AC25" s="130">
        <v>14</v>
      </c>
      <c r="AD25" s="130">
        <v>27</v>
      </c>
      <c r="AE25" s="130">
        <v>28</v>
      </c>
      <c r="AF25" s="130">
        <v>4</v>
      </c>
      <c r="AG25" s="130">
        <v>2</v>
      </c>
      <c r="AH25" s="185">
        <v>1</v>
      </c>
      <c r="AI25" s="185">
        <v>1</v>
      </c>
      <c r="AJ25" s="185"/>
      <c r="AK25" s="185">
        <v>1</v>
      </c>
      <c r="AL25" s="185"/>
      <c r="AM25" s="185"/>
      <c r="AN25" s="173">
        <v>2</v>
      </c>
      <c r="AO25" s="169">
        <v>1</v>
      </c>
      <c r="AP25" s="185">
        <v>1</v>
      </c>
      <c r="AQ25" s="185">
        <v>6</v>
      </c>
      <c r="AR25" s="185">
        <v>1</v>
      </c>
      <c r="AS25" s="184">
        <v>3</v>
      </c>
      <c r="AT25" s="169">
        <v>0</v>
      </c>
      <c r="AU25" s="228">
        <v>2</v>
      </c>
      <c r="AV25" s="184">
        <v>3</v>
      </c>
      <c r="AW25" s="169">
        <v>0</v>
      </c>
      <c r="AX25" s="154">
        <v>1</v>
      </c>
      <c r="AY25" s="185">
        <v>180</v>
      </c>
      <c r="AZ25" s="131">
        <v>6</v>
      </c>
      <c r="BA25" s="131">
        <v>3</v>
      </c>
      <c r="BB25" s="130"/>
      <c r="BC25" s="130"/>
      <c r="BD25" s="130">
        <v>-2</v>
      </c>
      <c r="BE25" s="130"/>
      <c r="BF25" s="130"/>
      <c r="BG25" s="130"/>
      <c r="BH25" s="130"/>
      <c r="BI25" s="130"/>
      <c r="BJ25" s="185"/>
      <c r="BK25" s="185">
        <v>1</v>
      </c>
      <c r="BL25" s="185"/>
      <c r="BM25" s="185"/>
      <c r="BN25" s="185"/>
      <c r="BO25" s="185"/>
      <c r="BP25" s="185"/>
      <c r="BQ25" s="169"/>
      <c r="BR25" s="185"/>
      <c r="BS25" s="185"/>
      <c r="BT25" s="185"/>
      <c r="BU25" s="185"/>
      <c r="BV25" s="185"/>
      <c r="BW25" s="228"/>
      <c r="BX25" s="184">
        <v>1</v>
      </c>
      <c r="BY25" s="185"/>
      <c r="BZ25" s="154"/>
      <c r="CA25" s="185">
        <v>0</v>
      </c>
      <c r="CB25" s="130">
        <v>3</v>
      </c>
      <c r="CC25" s="130">
        <v>0</v>
      </c>
      <c r="CD25" s="130">
        <v>183</v>
      </c>
      <c r="CE25" s="130">
        <v>6</v>
      </c>
      <c r="CF25" s="133">
        <v>185</v>
      </c>
      <c r="CG25" s="134">
        <v>3</v>
      </c>
    </row>
    <row r="26" spans="1:85" x14ac:dyDescent="0.25">
      <c r="A26" s="14">
        <v>36</v>
      </c>
      <c r="B26" s="2" t="s">
        <v>39</v>
      </c>
      <c r="C26" s="15"/>
      <c r="D26" s="183">
        <v>-6</v>
      </c>
      <c r="E26" s="150">
        <v>31</v>
      </c>
      <c r="F26" s="150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83"/>
      <c r="R26" s="183"/>
      <c r="S26" s="183"/>
      <c r="T26" s="183"/>
      <c r="U26" s="183"/>
      <c r="V26" s="183"/>
      <c r="W26" s="183"/>
      <c r="X26" s="131">
        <v>27</v>
      </c>
      <c r="Y26" s="131">
        <v>1</v>
      </c>
      <c r="Z26" s="130">
        <v>11</v>
      </c>
      <c r="AA26" s="130"/>
      <c r="AB26" s="130">
        <v>1</v>
      </c>
      <c r="AC26" s="130">
        <v>3</v>
      </c>
      <c r="AD26" s="130">
        <v>2</v>
      </c>
      <c r="AE26" s="130"/>
      <c r="AF26" s="130">
        <v>1</v>
      </c>
      <c r="AG26" s="130">
        <v>11</v>
      </c>
      <c r="AH26" s="185">
        <v>24</v>
      </c>
      <c r="AI26" s="185"/>
      <c r="AJ26" s="185">
        <v>2</v>
      </c>
      <c r="AK26" s="185"/>
      <c r="AL26" s="185"/>
      <c r="AM26" s="185">
        <v>1</v>
      </c>
      <c r="AN26" s="185">
        <v>10</v>
      </c>
      <c r="AO26" s="185">
        <v>2</v>
      </c>
      <c r="AP26" s="185">
        <v>4</v>
      </c>
      <c r="AQ26" s="185">
        <v>18</v>
      </c>
      <c r="AR26" s="184">
        <v>7</v>
      </c>
      <c r="AS26" s="173">
        <v>25</v>
      </c>
      <c r="AT26" s="185">
        <v>8</v>
      </c>
      <c r="AU26" s="185">
        <v>2</v>
      </c>
      <c r="AV26" s="184">
        <v>0</v>
      </c>
      <c r="AW26" s="184">
        <v>1</v>
      </c>
      <c r="AX26" s="154">
        <v>0</v>
      </c>
      <c r="AY26" s="185">
        <v>161</v>
      </c>
      <c r="AZ26" s="131">
        <v>6</v>
      </c>
      <c r="BA26" s="131">
        <v>4</v>
      </c>
      <c r="BB26" s="130"/>
      <c r="BC26" s="130">
        <v>-1</v>
      </c>
      <c r="BD26" s="130"/>
      <c r="BE26" s="130"/>
      <c r="BF26" s="130"/>
      <c r="BG26" s="130"/>
      <c r="BH26" s="130"/>
      <c r="BI26" s="130"/>
      <c r="BJ26" s="185"/>
      <c r="BK26" s="185"/>
      <c r="BL26" s="185"/>
      <c r="BM26" s="185"/>
      <c r="BN26" s="185"/>
      <c r="BO26" s="185">
        <v>1</v>
      </c>
      <c r="BP26" s="185"/>
      <c r="BQ26" s="185"/>
      <c r="BR26" s="185"/>
      <c r="BS26" s="185"/>
      <c r="BT26" s="185"/>
      <c r="BU26" s="185"/>
      <c r="BV26" s="185"/>
      <c r="BW26" s="184">
        <v>1</v>
      </c>
      <c r="BX26" s="184"/>
      <c r="BY26" s="185"/>
      <c r="BZ26" s="154"/>
      <c r="CA26" s="185">
        <v>0</v>
      </c>
      <c r="CB26" s="130">
        <v>5</v>
      </c>
      <c r="CC26" s="130">
        <v>0</v>
      </c>
      <c r="CD26" s="130">
        <v>166</v>
      </c>
      <c r="CE26" s="130">
        <v>6</v>
      </c>
      <c r="CF26" s="133">
        <v>161</v>
      </c>
      <c r="CG26" s="134">
        <v>5</v>
      </c>
    </row>
    <row r="27" spans="1:85" x14ac:dyDescent="0.25">
      <c r="A27" s="14">
        <v>68</v>
      </c>
      <c r="B27" s="2" t="s">
        <v>71</v>
      </c>
      <c r="C27" s="22"/>
      <c r="D27" s="183">
        <v>-3</v>
      </c>
      <c r="E27" s="150">
        <v>84</v>
      </c>
      <c r="F27" s="150"/>
      <c r="G27" s="136"/>
      <c r="H27" s="136">
        <v>-3</v>
      </c>
      <c r="I27" s="136"/>
      <c r="J27" s="136"/>
      <c r="K27" s="136">
        <v>-2</v>
      </c>
      <c r="L27" s="136"/>
      <c r="M27" s="136"/>
      <c r="N27" s="136"/>
      <c r="O27" s="136"/>
      <c r="P27" s="136"/>
      <c r="Q27" s="183">
        <v>-1</v>
      </c>
      <c r="R27" s="183"/>
      <c r="S27" s="183">
        <v>-1</v>
      </c>
      <c r="T27" s="183"/>
      <c r="U27" s="183"/>
      <c r="V27" s="183"/>
      <c r="W27" s="183"/>
      <c r="X27" s="131">
        <v>104</v>
      </c>
      <c r="Y27" s="131">
        <v>4</v>
      </c>
      <c r="Z27" s="130">
        <v>10</v>
      </c>
      <c r="AA27" s="130">
        <v>10</v>
      </c>
      <c r="AB27" s="130">
        <v>16</v>
      </c>
      <c r="AC27" s="130">
        <v>1</v>
      </c>
      <c r="AD27" s="130">
        <v>16</v>
      </c>
      <c r="AE27" s="130">
        <v>4</v>
      </c>
      <c r="AF27" s="130">
        <v>5</v>
      </c>
      <c r="AG27" s="130">
        <v>16</v>
      </c>
      <c r="AH27" s="185">
        <v>13</v>
      </c>
      <c r="AI27" s="185">
        <v>6</v>
      </c>
      <c r="AJ27" s="185">
        <v>6</v>
      </c>
      <c r="AK27" s="185">
        <v>6</v>
      </c>
      <c r="AL27" s="185">
        <v>13</v>
      </c>
      <c r="AM27" s="185">
        <v>3</v>
      </c>
      <c r="AN27" s="173">
        <v>8</v>
      </c>
      <c r="AO27" s="185">
        <v>2</v>
      </c>
      <c r="AP27" s="185">
        <v>3</v>
      </c>
      <c r="AQ27" s="185">
        <v>7</v>
      </c>
      <c r="AR27" s="184">
        <v>8</v>
      </c>
      <c r="AS27" s="184">
        <v>12</v>
      </c>
      <c r="AT27" s="185">
        <v>1</v>
      </c>
      <c r="AU27" s="169">
        <v>12</v>
      </c>
      <c r="AV27" s="184">
        <v>6</v>
      </c>
      <c r="AW27" s="185">
        <v>1</v>
      </c>
      <c r="AX27" s="154">
        <v>2</v>
      </c>
      <c r="AY27" s="185">
        <v>288</v>
      </c>
      <c r="AZ27" s="131">
        <v>5</v>
      </c>
      <c r="BA27" s="131"/>
      <c r="BB27" s="130"/>
      <c r="BC27" s="130"/>
      <c r="BD27" s="130"/>
      <c r="BE27" s="130"/>
      <c r="BF27" s="130"/>
      <c r="BG27" s="130"/>
      <c r="BH27" s="130">
        <v>1</v>
      </c>
      <c r="BI27" s="130"/>
      <c r="BJ27" s="185">
        <v>5</v>
      </c>
      <c r="BK27" s="185"/>
      <c r="BL27" s="185"/>
      <c r="BM27" s="185"/>
      <c r="BN27" s="185"/>
      <c r="BO27" s="185"/>
      <c r="BP27" s="185"/>
      <c r="BQ27" s="185"/>
      <c r="BR27" s="185">
        <v>1</v>
      </c>
      <c r="BS27" s="185">
        <v>2</v>
      </c>
      <c r="BT27" s="185"/>
      <c r="BU27" s="185"/>
      <c r="BV27" s="185">
        <v>4</v>
      </c>
      <c r="BW27" s="185"/>
      <c r="BX27" s="184"/>
      <c r="BY27" s="185"/>
      <c r="BZ27" s="154"/>
      <c r="CA27" s="185">
        <v>5</v>
      </c>
      <c r="CB27" s="130">
        <v>18</v>
      </c>
      <c r="CC27" s="130">
        <v>1</v>
      </c>
      <c r="CD27" s="130">
        <v>306</v>
      </c>
      <c r="CE27" s="130">
        <v>6</v>
      </c>
      <c r="CF27" s="133">
        <v>290</v>
      </c>
      <c r="CG27" s="134">
        <v>19</v>
      </c>
    </row>
    <row r="28" spans="1:85" x14ac:dyDescent="0.25">
      <c r="A28" s="14">
        <v>86</v>
      </c>
      <c r="B28" s="2" t="s">
        <v>89</v>
      </c>
      <c r="C28" s="22"/>
      <c r="D28" s="183">
        <v>-1</v>
      </c>
      <c r="E28" s="150">
        <v>33</v>
      </c>
      <c r="F28" s="150"/>
      <c r="G28" s="136"/>
      <c r="H28" s="136"/>
      <c r="I28" s="136">
        <v>-1</v>
      </c>
      <c r="J28" s="136"/>
      <c r="K28" s="136"/>
      <c r="L28" s="136"/>
      <c r="M28" s="136">
        <v>-1</v>
      </c>
      <c r="N28" s="136"/>
      <c r="O28" s="136"/>
      <c r="P28" s="136"/>
      <c r="Q28" s="183"/>
      <c r="R28" s="183"/>
      <c r="S28" s="183"/>
      <c r="T28" s="183"/>
      <c r="U28" s="183"/>
      <c r="V28" s="183"/>
      <c r="W28" s="183"/>
      <c r="X28" s="131">
        <v>34</v>
      </c>
      <c r="Y28" s="131">
        <v>4</v>
      </c>
      <c r="Z28" s="130">
        <v>1</v>
      </c>
      <c r="AA28" s="130">
        <v>17</v>
      </c>
      <c r="AB28" s="130">
        <v>3</v>
      </c>
      <c r="AC28" s="130">
        <v>18</v>
      </c>
      <c r="AD28" s="130">
        <v>7</v>
      </c>
      <c r="AE28" s="130">
        <v>21</v>
      </c>
      <c r="AF28" s="130">
        <v>8</v>
      </c>
      <c r="AG28" s="130">
        <v>3</v>
      </c>
      <c r="AH28" s="185">
        <v>10</v>
      </c>
      <c r="AI28" s="185">
        <v>4</v>
      </c>
      <c r="AJ28" s="185">
        <v>2</v>
      </c>
      <c r="AK28" s="185">
        <v>2</v>
      </c>
      <c r="AL28" s="185">
        <v>3</v>
      </c>
      <c r="AM28" s="185">
        <v>1</v>
      </c>
      <c r="AN28" s="185">
        <v>1</v>
      </c>
      <c r="AO28" s="185">
        <v>8</v>
      </c>
      <c r="AP28" s="185">
        <v>5</v>
      </c>
      <c r="AQ28" s="185">
        <v>2</v>
      </c>
      <c r="AR28" s="184">
        <v>2</v>
      </c>
      <c r="AS28" s="185">
        <v>1</v>
      </c>
      <c r="AT28" s="185">
        <v>2</v>
      </c>
      <c r="AU28" s="185">
        <v>2</v>
      </c>
      <c r="AV28" s="184">
        <v>2</v>
      </c>
      <c r="AW28" s="185">
        <v>1</v>
      </c>
      <c r="AX28" s="154">
        <v>1</v>
      </c>
      <c r="AY28" s="185">
        <v>163</v>
      </c>
      <c r="AZ28" s="131">
        <v>6</v>
      </c>
      <c r="BA28" s="131"/>
      <c r="BB28" s="130"/>
      <c r="BC28" s="130"/>
      <c r="BD28" s="130"/>
      <c r="BE28" s="130"/>
      <c r="BF28" s="130">
        <v>1</v>
      </c>
      <c r="BG28" s="130"/>
      <c r="BH28" s="130"/>
      <c r="BI28" s="130">
        <v>5</v>
      </c>
      <c r="BJ28" s="185">
        <v>1</v>
      </c>
      <c r="BK28" s="185">
        <v>3</v>
      </c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4"/>
      <c r="BY28" s="185"/>
      <c r="BZ28" s="154"/>
      <c r="CA28" s="185"/>
      <c r="CB28" s="130">
        <v>10</v>
      </c>
      <c r="CC28" s="130">
        <v>0</v>
      </c>
      <c r="CD28" s="130">
        <v>173</v>
      </c>
      <c r="CE28" s="130">
        <v>6</v>
      </c>
      <c r="CF28" s="133">
        <v>168</v>
      </c>
      <c r="CG28" s="134">
        <v>10</v>
      </c>
    </row>
    <row r="29" spans="1:85" x14ac:dyDescent="0.25">
      <c r="A29" s="14">
        <v>24</v>
      </c>
      <c r="B29" s="2" t="s">
        <v>27</v>
      </c>
      <c r="C29" s="15"/>
      <c r="D29" s="183"/>
      <c r="E29" s="150">
        <v>69</v>
      </c>
      <c r="F29" s="150">
        <v>-1</v>
      </c>
      <c r="G29" s="136"/>
      <c r="H29" s="136"/>
      <c r="I29" s="136">
        <v>-2</v>
      </c>
      <c r="J29" s="136"/>
      <c r="K29" s="136"/>
      <c r="L29" s="136"/>
      <c r="M29" s="136"/>
      <c r="N29" s="136"/>
      <c r="O29" s="136"/>
      <c r="P29" s="136"/>
      <c r="Q29" s="183"/>
      <c r="R29" s="183">
        <v>-1</v>
      </c>
      <c r="S29" s="183">
        <v>-5</v>
      </c>
      <c r="T29" s="183">
        <v>-4</v>
      </c>
      <c r="U29" s="183">
        <v>-4</v>
      </c>
      <c r="V29" s="183">
        <v>-2</v>
      </c>
      <c r="W29" s="183"/>
      <c r="X29" s="131">
        <v>63</v>
      </c>
      <c r="Y29" s="131">
        <v>20</v>
      </c>
      <c r="Z29" s="130">
        <v>6</v>
      </c>
      <c r="AA29" s="130">
        <v>9</v>
      </c>
      <c r="AB29" s="130">
        <v>16</v>
      </c>
      <c r="AC29" s="130">
        <v>1</v>
      </c>
      <c r="AD29" s="130">
        <v>13</v>
      </c>
      <c r="AE29" s="130">
        <v>17</v>
      </c>
      <c r="AF29" s="130">
        <v>16</v>
      </c>
      <c r="AG29" s="130">
        <v>13</v>
      </c>
      <c r="AH29" s="185">
        <v>16</v>
      </c>
      <c r="AI29" s="185">
        <v>20</v>
      </c>
      <c r="AJ29" s="185">
        <v>17</v>
      </c>
      <c r="AK29" s="185">
        <v>25</v>
      </c>
      <c r="AL29" s="185">
        <v>2</v>
      </c>
      <c r="AM29" s="185">
        <v>10</v>
      </c>
      <c r="AN29" s="184">
        <v>12</v>
      </c>
      <c r="AO29" s="185">
        <v>11</v>
      </c>
      <c r="AP29" s="185">
        <v>6</v>
      </c>
      <c r="AQ29" s="185">
        <v>1</v>
      </c>
      <c r="AR29" s="184">
        <v>2</v>
      </c>
      <c r="AS29" s="169">
        <v>3</v>
      </c>
      <c r="AT29" s="169">
        <v>2</v>
      </c>
      <c r="AU29" s="169">
        <v>1</v>
      </c>
      <c r="AV29" s="173">
        <v>2</v>
      </c>
      <c r="AW29" s="169">
        <v>1</v>
      </c>
      <c r="AX29" s="154">
        <v>2</v>
      </c>
      <c r="AY29" s="185">
        <v>288</v>
      </c>
      <c r="AZ29" s="131">
        <v>5</v>
      </c>
      <c r="BA29" s="131">
        <v>6</v>
      </c>
      <c r="BB29" s="130">
        <v>2</v>
      </c>
      <c r="BC29" s="130"/>
      <c r="BD29" s="130">
        <v>-8</v>
      </c>
      <c r="BE29" s="130"/>
      <c r="BF29" s="130"/>
      <c r="BG29" s="130"/>
      <c r="BH29" s="130"/>
      <c r="BI29" s="130"/>
      <c r="BJ29" s="185">
        <v>1</v>
      </c>
      <c r="BK29" s="185"/>
      <c r="BL29" s="185">
        <v>1</v>
      </c>
      <c r="BM29" s="185">
        <v>1</v>
      </c>
      <c r="BN29" s="185"/>
      <c r="BO29" s="185">
        <v>1</v>
      </c>
      <c r="BP29" s="185"/>
      <c r="BQ29" s="185">
        <v>2</v>
      </c>
      <c r="BR29" s="185"/>
      <c r="BS29" s="185"/>
      <c r="BT29" s="185"/>
      <c r="BU29" s="185"/>
      <c r="BV29" s="228"/>
      <c r="BW29" s="185">
        <v>1</v>
      </c>
      <c r="BX29" s="184"/>
      <c r="BY29" s="185"/>
      <c r="BZ29" s="154">
        <v>1</v>
      </c>
      <c r="CA29" s="185">
        <v>0</v>
      </c>
      <c r="CB29" s="130">
        <v>8</v>
      </c>
      <c r="CC29" s="130">
        <v>0</v>
      </c>
      <c r="CD29" s="130">
        <v>296</v>
      </c>
      <c r="CE29" s="130">
        <v>5</v>
      </c>
      <c r="CF29" s="133">
        <v>293</v>
      </c>
      <c r="CG29" s="134">
        <v>8</v>
      </c>
    </row>
    <row r="30" spans="1:85" x14ac:dyDescent="0.25">
      <c r="A30" s="14">
        <v>66</v>
      </c>
      <c r="B30" s="2" t="s">
        <v>69</v>
      </c>
      <c r="C30" s="22"/>
      <c r="D30" s="183"/>
      <c r="E30" s="150">
        <v>132</v>
      </c>
      <c r="F30" s="150">
        <v>-15</v>
      </c>
      <c r="G30" s="136"/>
      <c r="H30" s="136">
        <v>-2</v>
      </c>
      <c r="I30" s="136">
        <v>-5</v>
      </c>
      <c r="J30" s="136">
        <v>-2</v>
      </c>
      <c r="K30" s="136"/>
      <c r="L30" s="136"/>
      <c r="M30" s="136"/>
      <c r="N30" s="136"/>
      <c r="O30" s="136">
        <v>-2</v>
      </c>
      <c r="P30" s="136"/>
      <c r="Q30" s="183">
        <v>-6</v>
      </c>
      <c r="R30" s="183"/>
      <c r="S30" s="183">
        <v>-4</v>
      </c>
      <c r="T30" s="183">
        <v>-5</v>
      </c>
      <c r="U30" s="183"/>
      <c r="V30" s="183"/>
      <c r="W30" s="183">
        <v>-1</v>
      </c>
      <c r="X30" s="131">
        <v>131</v>
      </c>
      <c r="Y30" s="131">
        <v>23</v>
      </c>
      <c r="Z30" s="130">
        <v>16</v>
      </c>
      <c r="AA30" s="130">
        <v>175</v>
      </c>
      <c r="AB30" s="130">
        <v>92</v>
      </c>
      <c r="AC30" s="169">
        <v>56</v>
      </c>
      <c r="AD30" s="169">
        <v>1</v>
      </c>
      <c r="AE30" s="169">
        <v>83</v>
      </c>
      <c r="AF30" s="169">
        <v>3</v>
      </c>
      <c r="AG30" s="130">
        <v>2</v>
      </c>
      <c r="AH30" s="185">
        <v>30</v>
      </c>
      <c r="AI30" s="185">
        <v>6</v>
      </c>
      <c r="AJ30" s="185">
        <v>212</v>
      </c>
      <c r="AK30" s="185">
        <v>4</v>
      </c>
      <c r="AL30" s="185">
        <v>79</v>
      </c>
      <c r="AM30" s="185">
        <v>106</v>
      </c>
      <c r="AN30" s="184">
        <v>1</v>
      </c>
      <c r="AO30" s="185">
        <v>2</v>
      </c>
      <c r="AP30" s="185">
        <v>2</v>
      </c>
      <c r="AQ30" s="185">
        <v>5</v>
      </c>
      <c r="AR30" s="184">
        <v>1</v>
      </c>
      <c r="AS30" s="185">
        <v>1</v>
      </c>
      <c r="AT30" s="185"/>
      <c r="AU30" s="169">
        <v>2</v>
      </c>
      <c r="AV30" s="173">
        <v>1</v>
      </c>
      <c r="AW30" s="169">
        <v>1</v>
      </c>
      <c r="AX30" s="154">
        <v>105</v>
      </c>
      <c r="AY30" s="185">
        <v>1098</v>
      </c>
      <c r="AZ30" s="131">
        <v>5</v>
      </c>
      <c r="BA30" s="131">
        <v>1</v>
      </c>
      <c r="BB30" s="130"/>
      <c r="BC30" s="130"/>
      <c r="BD30" s="130">
        <v>3</v>
      </c>
      <c r="BE30" s="169"/>
      <c r="BF30" s="169">
        <v>1</v>
      </c>
      <c r="BG30" s="169"/>
      <c r="BH30" s="169">
        <v>24</v>
      </c>
      <c r="BI30" s="130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4"/>
      <c r="BY30" s="185"/>
      <c r="BZ30" s="154"/>
      <c r="CA30" s="185">
        <v>3</v>
      </c>
      <c r="CB30" s="130">
        <v>32</v>
      </c>
      <c r="CC30" s="130">
        <v>0</v>
      </c>
      <c r="CD30" s="130">
        <v>1130</v>
      </c>
      <c r="CE30" s="130">
        <v>5</v>
      </c>
      <c r="CF30" s="133">
        <v>1103</v>
      </c>
      <c r="CG30" s="134">
        <v>32</v>
      </c>
    </row>
    <row r="31" spans="1:85" x14ac:dyDescent="0.25">
      <c r="A31" s="14">
        <v>69</v>
      </c>
      <c r="B31" s="2" t="s">
        <v>72</v>
      </c>
      <c r="C31" s="22"/>
      <c r="D31" s="183">
        <v>-15</v>
      </c>
      <c r="E31" s="150">
        <v>107</v>
      </c>
      <c r="F31" s="150"/>
      <c r="G31" s="136">
        <v>-9</v>
      </c>
      <c r="H31" s="136"/>
      <c r="I31" s="136">
        <v>-3</v>
      </c>
      <c r="J31" s="136">
        <v>-1</v>
      </c>
      <c r="K31" s="136"/>
      <c r="L31" s="136">
        <v>-6</v>
      </c>
      <c r="M31" s="136"/>
      <c r="N31" s="136"/>
      <c r="O31" s="136">
        <v>-3</v>
      </c>
      <c r="P31" s="136"/>
      <c r="Q31" s="183"/>
      <c r="R31" s="183">
        <v>-2</v>
      </c>
      <c r="S31" s="183">
        <v>-1</v>
      </c>
      <c r="T31" s="183"/>
      <c r="U31" s="183">
        <v>-1</v>
      </c>
      <c r="V31" s="183"/>
      <c r="W31" s="183"/>
      <c r="X31" s="131">
        <v>103</v>
      </c>
      <c r="Y31" s="131">
        <v>13</v>
      </c>
      <c r="Z31" s="130">
        <v>22</v>
      </c>
      <c r="AA31" s="130">
        <v>14</v>
      </c>
      <c r="AB31" s="130">
        <v>19</v>
      </c>
      <c r="AC31" s="130">
        <v>57</v>
      </c>
      <c r="AD31" s="130">
        <v>16</v>
      </c>
      <c r="AE31" s="130">
        <v>55</v>
      </c>
      <c r="AF31" s="130">
        <v>22</v>
      </c>
      <c r="AG31" s="130">
        <v>13</v>
      </c>
      <c r="AH31" s="185">
        <v>7</v>
      </c>
      <c r="AI31" s="185">
        <v>6</v>
      </c>
      <c r="AJ31" s="185">
        <v>7</v>
      </c>
      <c r="AK31" s="185">
        <v>67</v>
      </c>
      <c r="AL31" s="169">
        <v>9</v>
      </c>
      <c r="AM31" s="185">
        <v>8</v>
      </c>
      <c r="AN31" s="169">
        <v>3</v>
      </c>
      <c r="AO31" s="185"/>
      <c r="AP31" s="185">
        <v>1</v>
      </c>
      <c r="AQ31" s="185">
        <v>5</v>
      </c>
      <c r="AR31" s="173">
        <v>2</v>
      </c>
      <c r="AS31" s="185">
        <v>6</v>
      </c>
      <c r="AT31" s="185"/>
      <c r="AU31" s="185">
        <v>3</v>
      </c>
      <c r="AV31" s="184">
        <v>7</v>
      </c>
      <c r="AW31" s="173">
        <v>2</v>
      </c>
      <c r="AX31" s="154">
        <v>5</v>
      </c>
      <c r="AY31" s="185">
        <v>447</v>
      </c>
      <c r="AZ31" s="131">
        <v>5</v>
      </c>
      <c r="BA31" s="131">
        <v>5</v>
      </c>
      <c r="BB31" s="130">
        <v>3</v>
      </c>
      <c r="BC31" s="130">
        <v>1</v>
      </c>
      <c r="BD31" s="130"/>
      <c r="BE31" s="130"/>
      <c r="BF31" s="130"/>
      <c r="BG31" s="130">
        <v>18</v>
      </c>
      <c r="BH31" s="130">
        <v>10</v>
      </c>
      <c r="BI31" s="130">
        <v>2</v>
      </c>
      <c r="BJ31" s="185"/>
      <c r="BK31" s="185">
        <v>1</v>
      </c>
      <c r="BL31" s="185">
        <v>1</v>
      </c>
      <c r="BM31" s="185">
        <v>1</v>
      </c>
      <c r="BN31" s="169"/>
      <c r="BO31" s="185">
        <v>1</v>
      </c>
      <c r="BP31" s="185"/>
      <c r="BQ31" s="185"/>
      <c r="BR31" s="185">
        <v>1</v>
      </c>
      <c r="BS31" s="185"/>
      <c r="BT31" s="185"/>
      <c r="BU31" s="185"/>
      <c r="BV31" s="185"/>
      <c r="BW31" s="185"/>
      <c r="BX31" s="184"/>
      <c r="BY31" s="185"/>
      <c r="BZ31" s="154">
        <v>2</v>
      </c>
      <c r="CA31" s="185"/>
      <c r="CB31" s="130">
        <v>45</v>
      </c>
      <c r="CC31" s="130">
        <v>0</v>
      </c>
      <c r="CD31" s="130">
        <v>492</v>
      </c>
      <c r="CE31" s="130">
        <v>5</v>
      </c>
      <c r="CF31" s="133">
        <v>437</v>
      </c>
      <c r="CG31" s="134">
        <v>45</v>
      </c>
    </row>
    <row r="32" spans="1:85" x14ac:dyDescent="0.25">
      <c r="A32" s="14">
        <v>79</v>
      </c>
      <c r="B32" s="2" t="s">
        <v>82</v>
      </c>
      <c r="C32" s="15"/>
      <c r="D32" s="183">
        <v>-2</v>
      </c>
      <c r="E32" s="150">
        <v>15</v>
      </c>
      <c r="F32" s="150"/>
      <c r="G32" s="136">
        <v>-1</v>
      </c>
      <c r="H32" s="136"/>
      <c r="I32" s="136"/>
      <c r="J32" s="136"/>
      <c r="K32" s="136">
        <v>-1</v>
      </c>
      <c r="L32" s="136"/>
      <c r="M32" s="136"/>
      <c r="N32" s="136"/>
      <c r="O32" s="136"/>
      <c r="P32" s="136">
        <v>-1</v>
      </c>
      <c r="Q32" s="183">
        <v>-2</v>
      </c>
      <c r="R32" s="183">
        <v>-6</v>
      </c>
      <c r="S32" s="183">
        <v>-2</v>
      </c>
      <c r="T32" s="183">
        <v>-1</v>
      </c>
      <c r="U32" s="183"/>
      <c r="V32" s="183"/>
      <c r="W32" s="183"/>
      <c r="X32" s="131">
        <v>16</v>
      </c>
      <c r="Y32" s="131">
        <v>2</v>
      </c>
      <c r="Z32" s="130">
        <v>101</v>
      </c>
      <c r="AA32" s="130">
        <v>49</v>
      </c>
      <c r="AB32" s="130">
        <v>30</v>
      </c>
      <c r="AC32" s="130">
        <v>8</v>
      </c>
      <c r="AD32" s="130">
        <v>10</v>
      </c>
      <c r="AE32" s="130">
        <v>8</v>
      </c>
      <c r="AF32" s="169">
        <v>6</v>
      </c>
      <c r="AG32" s="130">
        <v>2</v>
      </c>
      <c r="AH32" s="185">
        <v>25</v>
      </c>
      <c r="AI32" s="185">
        <v>10</v>
      </c>
      <c r="AJ32" s="185">
        <v>16</v>
      </c>
      <c r="AK32" s="185">
        <v>110</v>
      </c>
      <c r="AL32" s="169">
        <v>5</v>
      </c>
      <c r="AM32" s="185">
        <v>19</v>
      </c>
      <c r="AN32" s="184">
        <v>9</v>
      </c>
      <c r="AO32" s="185">
        <v>2</v>
      </c>
      <c r="AP32" s="185">
        <v>3</v>
      </c>
      <c r="AQ32" s="185">
        <v>25</v>
      </c>
      <c r="AR32" s="169">
        <v>10</v>
      </c>
      <c r="AS32" s="169"/>
      <c r="AT32" s="169">
        <v>0</v>
      </c>
      <c r="AU32" s="130">
        <v>2</v>
      </c>
      <c r="AV32" s="184">
        <v>1</v>
      </c>
      <c r="AW32" s="185"/>
      <c r="AX32" s="154">
        <v>1</v>
      </c>
      <c r="AY32" s="185">
        <v>456</v>
      </c>
      <c r="AZ32" s="131">
        <v>1</v>
      </c>
      <c r="BA32" s="131"/>
      <c r="BB32" s="130"/>
      <c r="BC32" s="130">
        <v>53</v>
      </c>
      <c r="BD32" s="130">
        <v>1</v>
      </c>
      <c r="BE32" s="130">
        <v>2</v>
      </c>
      <c r="BF32" s="130"/>
      <c r="BG32" s="130"/>
      <c r="BH32" s="169">
        <v>3</v>
      </c>
      <c r="BI32" s="130">
        <v>1</v>
      </c>
      <c r="BJ32" s="185"/>
      <c r="BK32" s="185">
        <v>15</v>
      </c>
      <c r="BL32" s="185">
        <v>5</v>
      </c>
      <c r="BM32" s="185">
        <v>6</v>
      </c>
      <c r="BN32" s="169">
        <v>17</v>
      </c>
      <c r="BO32" s="185"/>
      <c r="BP32" s="185">
        <v>5</v>
      </c>
      <c r="BQ32" s="185"/>
      <c r="BR32" s="185"/>
      <c r="BS32" s="185"/>
      <c r="BT32" s="185"/>
      <c r="BU32" s="185">
        <v>12</v>
      </c>
      <c r="BV32" s="185"/>
      <c r="BW32" s="185"/>
      <c r="BX32" s="184">
        <v>-1</v>
      </c>
      <c r="BY32" s="184"/>
      <c r="BZ32" s="154"/>
      <c r="CA32" s="185"/>
      <c r="CB32" s="130">
        <v>119</v>
      </c>
      <c r="CC32" s="130">
        <v>4</v>
      </c>
      <c r="CD32" s="130">
        <v>575</v>
      </c>
      <c r="CE32" s="130">
        <v>5</v>
      </c>
      <c r="CF32" s="133">
        <v>455</v>
      </c>
      <c r="CG32" s="134">
        <v>123</v>
      </c>
    </row>
    <row r="33" spans="1:85" x14ac:dyDescent="0.25">
      <c r="A33" s="14">
        <v>17</v>
      </c>
      <c r="B33" s="2" t="s">
        <v>21</v>
      </c>
      <c r="C33" s="15"/>
      <c r="D33" s="183">
        <v>-1</v>
      </c>
      <c r="E33" s="150">
        <v>346</v>
      </c>
      <c r="F33" s="150">
        <v>-1</v>
      </c>
      <c r="G33" s="136">
        <v>-2</v>
      </c>
      <c r="H33" s="136">
        <v>-2</v>
      </c>
      <c r="I33" s="136">
        <v>-1</v>
      </c>
      <c r="J33" s="136"/>
      <c r="K33" s="136">
        <v>-1</v>
      </c>
      <c r="L33" s="136">
        <v>-4</v>
      </c>
      <c r="M33" s="136">
        <v>-3</v>
      </c>
      <c r="N33" s="136">
        <v>-2</v>
      </c>
      <c r="O33" s="136">
        <v>-4</v>
      </c>
      <c r="P33" s="136">
        <v>-7</v>
      </c>
      <c r="Q33" s="183">
        <v>-9</v>
      </c>
      <c r="R33" s="183">
        <v>-6</v>
      </c>
      <c r="S33" s="183">
        <v>-3</v>
      </c>
      <c r="T33" s="183">
        <v>-25</v>
      </c>
      <c r="U33" s="183">
        <v>-1</v>
      </c>
      <c r="V33" s="183">
        <v>-2</v>
      </c>
      <c r="W33" s="183">
        <v>-6</v>
      </c>
      <c r="X33" s="131">
        <v>436</v>
      </c>
      <c r="Y33" s="131">
        <v>46</v>
      </c>
      <c r="Z33" s="130">
        <v>46</v>
      </c>
      <c r="AA33" s="130">
        <v>115</v>
      </c>
      <c r="AB33" s="130">
        <v>100</v>
      </c>
      <c r="AC33" s="130">
        <v>63</v>
      </c>
      <c r="AD33" s="130">
        <v>90</v>
      </c>
      <c r="AE33" s="130">
        <v>135</v>
      </c>
      <c r="AF33" s="130">
        <v>83</v>
      </c>
      <c r="AG33" s="130">
        <v>99</v>
      </c>
      <c r="AH33" s="185">
        <v>168</v>
      </c>
      <c r="AI33" s="185">
        <v>133</v>
      </c>
      <c r="AJ33" s="185">
        <v>88</v>
      </c>
      <c r="AK33" s="185">
        <v>170</v>
      </c>
      <c r="AL33" s="185">
        <v>83</v>
      </c>
      <c r="AM33" s="185">
        <v>23</v>
      </c>
      <c r="AN33" s="184">
        <v>8</v>
      </c>
      <c r="AO33" s="185">
        <v>15</v>
      </c>
      <c r="AP33" s="185">
        <v>28</v>
      </c>
      <c r="AQ33" s="185">
        <v>14</v>
      </c>
      <c r="AR33" s="185">
        <v>31</v>
      </c>
      <c r="AS33" s="184">
        <v>23</v>
      </c>
      <c r="AT33" s="169">
        <v>4</v>
      </c>
      <c r="AU33" s="130">
        <v>0</v>
      </c>
      <c r="AV33" s="184">
        <v>0</v>
      </c>
      <c r="AW33" s="185">
        <v>3</v>
      </c>
      <c r="AX33" s="154">
        <v>3</v>
      </c>
      <c r="AY33" s="185">
        <v>1928</v>
      </c>
      <c r="AZ33" s="131">
        <v>4</v>
      </c>
      <c r="BA33" s="131">
        <v>9</v>
      </c>
      <c r="BB33" s="130"/>
      <c r="BC33" s="130"/>
      <c r="BD33" s="130">
        <v>1</v>
      </c>
      <c r="BE33" s="130">
        <v>1</v>
      </c>
      <c r="BF33" s="130"/>
      <c r="BG33" s="130">
        <v>1</v>
      </c>
      <c r="BH33" s="130">
        <v>14</v>
      </c>
      <c r="BI33" s="130">
        <v>6</v>
      </c>
      <c r="BJ33" s="185">
        <v>3</v>
      </c>
      <c r="BK33" s="185">
        <v>5</v>
      </c>
      <c r="BL33" s="185">
        <v>4</v>
      </c>
      <c r="BM33" s="185">
        <v>1</v>
      </c>
      <c r="BN33" s="185">
        <v>2</v>
      </c>
      <c r="BO33" s="185">
        <v>2</v>
      </c>
      <c r="BP33" s="185">
        <v>5</v>
      </c>
      <c r="BQ33" s="185"/>
      <c r="BR33" s="185">
        <v>1</v>
      </c>
      <c r="BS33" s="185">
        <v>1</v>
      </c>
      <c r="BT33" s="185">
        <v>1</v>
      </c>
      <c r="BU33" s="185">
        <v>7</v>
      </c>
      <c r="BV33" s="228">
        <v>1</v>
      </c>
      <c r="BW33" s="184"/>
      <c r="BX33" s="184"/>
      <c r="BY33" s="185">
        <v>2</v>
      </c>
      <c r="BZ33" s="154">
        <v>5</v>
      </c>
      <c r="CA33" s="185">
        <v>0</v>
      </c>
      <c r="CB33" s="130">
        <v>72</v>
      </c>
      <c r="CC33" s="130">
        <v>0</v>
      </c>
      <c r="CD33" s="130">
        <v>2000</v>
      </c>
      <c r="CE33" s="130">
        <v>4</v>
      </c>
      <c r="CF33" s="133">
        <v>1931</v>
      </c>
      <c r="CG33" s="134">
        <v>72</v>
      </c>
    </row>
    <row r="34" spans="1:85" x14ac:dyDescent="0.25">
      <c r="A34" s="14">
        <v>81</v>
      </c>
      <c r="B34" s="2" t="s">
        <v>84</v>
      </c>
      <c r="C34" s="15"/>
      <c r="D34" s="183">
        <v>-1</v>
      </c>
      <c r="E34" s="150">
        <v>170</v>
      </c>
      <c r="F34" s="150">
        <v>-1</v>
      </c>
      <c r="G34" s="136"/>
      <c r="H34" s="136"/>
      <c r="I34" s="136"/>
      <c r="J34" s="136"/>
      <c r="K34" s="136"/>
      <c r="L34" s="136"/>
      <c r="M34" s="136"/>
      <c r="N34" s="136">
        <v>-12</v>
      </c>
      <c r="O34" s="136">
        <v>-3</v>
      </c>
      <c r="P34" s="136"/>
      <c r="Q34" s="183"/>
      <c r="R34" s="183"/>
      <c r="S34" s="183"/>
      <c r="T34" s="183">
        <v>-1</v>
      </c>
      <c r="U34" s="183">
        <v>-1</v>
      </c>
      <c r="V34" s="183">
        <v>-7</v>
      </c>
      <c r="W34" s="183"/>
      <c r="X34" s="131">
        <v>167</v>
      </c>
      <c r="Y34" s="131">
        <v>2</v>
      </c>
      <c r="Z34" s="130"/>
      <c r="AA34" s="130">
        <v>3</v>
      </c>
      <c r="AB34" s="130">
        <v>4</v>
      </c>
      <c r="AC34" s="130">
        <v>0</v>
      </c>
      <c r="AD34" s="130"/>
      <c r="AE34" s="130"/>
      <c r="AF34" s="130">
        <v>0</v>
      </c>
      <c r="AG34" s="130">
        <v>76</v>
      </c>
      <c r="AH34" s="185">
        <v>40</v>
      </c>
      <c r="AI34" s="185">
        <v>9</v>
      </c>
      <c r="AJ34" s="185">
        <v>36</v>
      </c>
      <c r="AK34" s="185">
        <v>11</v>
      </c>
      <c r="AL34" s="185">
        <v>2</v>
      </c>
      <c r="AM34" s="185">
        <v>14</v>
      </c>
      <c r="AN34" s="173">
        <v>2</v>
      </c>
      <c r="AO34" s="185">
        <v>10</v>
      </c>
      <c r="AP34" s="185">
        <v>9</v>
      </c>
      <c r="AQ34" s="185">
        <v>12</v>
      </c>
      <c r="AR34" s="173">
        <v>10</v>
      </c>
      <c r="AS34" s="169">
        <v>2</v>
      </c>
      <c r="AT34" s="185"/>
      <c r="AU34" s="185">
        <v>-1</v>
      </c>
      <c r="AV34" s="173">
        <v>11</v>
      </c>
      <c r="AW34" s="169">
        <v>3</v>
      </c>
      <c r="AX34" s="154">
        <v>1</v>
      </c>
      <c r="AY34" s="185">
        <v>398</v>
      </c>
      <c r="AZ34" s="131">
        <v>4</v>
      </c>
      <c r="BA34" s="131">
        <v>4</v>
      </c>
      <c r="BB34" s="130"/>
      <c r="BC34" s="130"/>
      <c r="BD34" s="130">
        <v>-3</v>
      </c>
      <c r="BE34" s="130"/>
      <c r="BF34" s="130">
        <v>1</v>
      </c>
      <c r="BG34" s="130"/>
      <c r="BH34" s="130"/>
      <c r="BI34" s="130">
        <v>1</v>
      </c>
      <c r="BJ34" s="185">
        <v>14</v>
      </c>
      <c r="BK34" s="185"/>
      <c r="BL34" s="185">
        <v>20</v>
      </c>
      <c r="BM34" s="185">
        <v>1</v>
      </c>
      <c r="BN34" s="185"/>
      <c r="BO34" s="185"/>
      <c r="BP34" s="185">
        <v>2</v>
      </c>
      <c r="BQ34" s="185"/>
      <c r="BR34" s="185"/>
      <c r="BS34" s="185"/>
      <c r="BT34" s="185"/>
      <c r="BU34" s="185"/>
      <c r="BV34" s="185"/>
      <c r="BW34" s="185"/>
      <c r="BX34" s="184"/>
      <c r="BY34" s="185"/>
      <c r="BZ34" s="154"/>
      <c r="CA34" s="185"/>
      <c r="CB34" s="130">
        <v>40</v>
      </c>
      <c r="CC34" s="130">
        <v>0</v>
      </c>
      <c r="CD34" s="130">
        <v>438</v>
      </c>
      <c r="CE34" s="130">
        <v>4</v>
      </c>
      <c r="CF34" s="133">
        <v>401</v>
      </c>
      <c r="CG34" s="134">
        <v>40</v>
      </c>
    </row>
    <row r="35" spans="1:85" x14ac:dyDescent="0.25">
      <c r="A35" s="14">
        <v>83</v>
      </c>
      <c r="B35" s="2" t="s">
        <v>86</v>
      </c>
      <c r="C35" s="15"/>
      <c r="D35" s="183">
        <v>-2</v>
      </c>
      <c r="E35" s="150">
        <v>169</v>
      </c>
      <c r="F35" s="150"/>
      <c r="G35" s="136"/>
      <c r="H35" s="136">
        <v>-2</v>
      </c>
      <c r="I35" s="136"/>
      <c r="J35" s="136">
        <v>-3</v>
      </c>
      <c r="K35" s="136">
        <v>-3</v>
      </c>
      <c r="L35" s="136">
        <v>-1</v>
      </c>
      <c r="M35" s="136">
        <v>-2</v>
      </c>
      <c r="N35" s="136">
        <v>-10</v>
      </c>
      <c r="O35" s="136">
        <v>-2</v>
      </c>
      <c r="P35" s="136">
        <v>-6</v>
      </c>
      <c r="Q35" s="183">
        <v>-2</v>
      </c>
      <c r="R35" s="183">
        <v>-3</v>
      </c>
      <c r="S35" s="183">
        <v>-3</v>
      </c>
      <c r="T35" s="183">
        <v>-1</v>
      </c>
      <c r="U35" s="183"/>
      <c r="V35" s="183">
        <v>-1</v>
      </c>
      <c r="W35" s="183">
        <v>-1</v>
      </c>
      <c r="X35" s="131">
        <v>233</v>
      </c>
      <c r="Y35" s="131">
        <v>4</v>
      </c>
      <c r="Z35" s="130">
        <v>33</v>
      </c>
      <c r="AA35" s="130">
        <v>35</v>
      </c>
      <c r="AB35" s="130">
        <v>41</v>
      </c>
      <c r="AC35" s="130">
        <v>67</v>
      </c>
      <c r="AD35" s="130">
        <v>52</v>
      </c>
      <c r="AE35" s="130">
        <v>72</v>
      </c>
      <c r="AF35" s="130">
        <v>36</v>
      </c>
      <c r="AG35" s="130">
        <v>53</v>
      </c>
      <c r="AH35" s="185">
        <v>44</v>
      </c>
      <c r="AI35" s="185">
        <v>33</v>
      </c>
      <c r="AJ35" s="185">
        <v>59</v>
      </c>
      <c r="AK35" s="185">
        <v>30</v>
      </c>
      <c r="AL35" s="185">
        <v>27</v>
      </c>
      <c r="AM35" s="185">
        <v>12</v>
      </c>
      <c r="AN35" s="184">
        <v>32</v>
      </c>
      <c r="AO35" s="185">
        <v>13</v>
      </c>
      <c r="AP35" s="185">
        <v>26</v>
      </c>
      <c r="AQ35" s="185">
        <v>6</v>
      </c>
      <c r="AR35" s="184">
        <v>9</v>
      </c>
      <c r="AS35" s="173">
        <v>13</v>
      </c>
      <c r="AT35" s="185">
        <v>1</v>
      </c>
      <c r="AU35" s="185">
        <v>31</v>
      </c>
      <c r="AV35" s="184">
        <v>5</v>
      </c>
      <c r="AW35" s="184">
        <v>7</v>
      </c>
      <c r="AX35" s="154">
        <v>10</v>
      </c>
      <c r="AY35" s="185">
        <v>944</v>
      </c>
      <c r="AZ35" s="131">
        <v>4</v>
      </c>
      <c r="BA35" s="131">
        <v>2</v>
      </c>
      <c r="BB35" s="130"/>
      <c r="BC35" s="130"/>
      <c r="BD35" s="130"/>
      <c r="BE35" s="130"/>
      <c r="BF35" s="130"/>
      <c r="BG35" s="130"/>
      <c r="BH35" s="130">
        <v>2</v>
      </c>
      <c r="BI35" s="130">
        <v>2</v>
      </c>
      <c r="BJ35" s="185">
        <v>4</v>
      </c>
      <c r="BK35" s="185">
        <v>2</v>
      </c>
      <c r="BL35" s="185">
        <v>2</v>
      </c>
      <c r="BM35" s="185">
        <v>1</v>
      </c>
      <c r="BN35" s="185"/>
      <c r="BO35" s="185"/>
      <c r="BP35" s="185"/>
      <c r="BQ35" s="185"/>
      <c r="BR35" s="185">
        <v>5</v>
      </c>
      <c r="BS35" s="185"/>
      <c r="BT35" s="185"/>
      <c r="BU35" s="185">
        <v>1</v>
      </c>
      <c r="BV35" s="185"/>
      <c r="BW35" s="185"/>
      <c r="BX35" s="184">
        <v>2</v>
      </c>
      <c r="BY35" s="185"/>
      <c r="BZ35" s="154"/>
      <c r="CA35" s="185"/>
      <c r="CB35" s="130">
        <v>23</v>
      </c>
      <c r="CC35" s="130">
        <v>0</v>
      </c>
      <c r="CD35" s="130">
        <v>967</v>
      </c>
      <c r="CE35" s="130">
        <v>4</v>
      </c>
      <c r="CF35" s="133">
        <v>946</v>
      </c>
      <c r="CG35" s="134">
        <v>23</v>
      </c>
    </row>
    <row r="36" spans="1:85" x14ac:dyDescent="0.25">
      <c r="A36" s="14">
        <v>95</v>
      </c>
      <c r="B36" s="2" t="s">
        <v>98</v>
      </c>
      <c r="C36" s="22"/>
      <c r="D36" s="183"/>
      <c r="E36" s="150">
        <v>99</v>
      </c>
      <c r="F36" s="150"/>
      <c r="G36" s="136"/>
      <c r="H36" s="136">
        <v>-3</v>
      </c>
      <c r="I36" s="136"/>
      <c r="J36" s="136"/>
      <c r="K36" s="136"/>
      <c r="L36" s="136"/>
      <c r="M36" s="136">
        <v>-1</v>
      </c>
      <c r="N36" s="136"/>
      <c r="O36" s="136"/>
      <c r="P36" s="136"/>
      <c r="Q36" s="183">
        <v>-1</v>
      </c>
      <c r="R36" s="183">
        <v>-1</v>
      </c>
      <c r="S36" s="183"/>
      <c r="T36" s="183">
        <v>-1</v>
      </c>
      <c r="U36" s="183"/>
      <c r="V36" s="183"/>
      <c r="W36" s="183"/>
      <c r="X36" s="131">
        <v>105</v>
      </c>
      <c r="Y36" s="131">
        <v>13</v>
      </c>
      <c r="Z36" s="130"/>
      <c r="AA36" s="130">
        <v>29</v>
      </c>
      <c r="AB36" s="130">
        <v>16</v>
      </c>
      <c r="AC36" s="130">
        <v>40</v>
      </c>
      <c r="AD36" s="130">
        <v>10</v>
      </c>
      <c r="AE36" s="130">
        <v>15</v>
      </c>
      <c r="AF36" s="130">
        <v>2</v>
      </c>
      <c r="AG36" s="130">
        <v>3</v>
      </c>
      <c r="AH36" s="185">
        <v>9</v>
      </c>
      <c r="AI36" s="185">
        <v>9</v>
      </c>
      <c r="AJ36" s="185">
        <v>15</v>
      </c>
      <c r="AK36" s="185">
        <v>13</v>
      </c>
      <c r="AL36" s="185">
        <v>6</v>
      </c>
      <c r="AM36" s="185">
        <v>4</v>
      </c>
      <c r="AN36" s="184">
        <v>3</v>
      </c>
      <c r="AO36" s="185">
        <v>4</v>
      </c>
      <c r="AP36" s="185">
        <v>9</v>
      </c>
      <c r="AQ36" s="185">
        <v>2</v>
      </c>
      <c r="AR36" s="185">
        <v>2</v>
      </c>
      <c r="AS36" s="185">
        <v>15</v>
      </c>
      <c r="AT36" s="185"/>
      <c r="AU36" s="185">
        <v>16</v>
      </c>
      <c r="AV36" s="184"/>
      <c r="AW36" s="185"/>
      <c r="AX36" s="154">
        <v>0</v>
      </c>
      <c r="AY36" s="185">
        <v>333</v>
      </c>
      <c r="AZ36" s="131">
        <v>4</v>
      </c>
      <c r="BA36" s="131">
        <v>2</v>
      </c>
      <c r="BB36" s="130"/>
      <c r="BC36" s="130"/>
      <c r="BD36" s="130">
        <v>-2</v>
      </c>
      <c r="BE36" s="130">
        <v>2</v>
      </c>
      <c r="BF36" s="130"/>
      <c r="BG36" s="130"/>
      <c r="BH36" s="130"/>
      <c r="BI36" s="130">
        <v>1</v>
      </c>
      <c r="BJ36" s="185"/>
      <c r="BK36" s="185"/>
      <c r="BL36" s="185"/>
      <c r="BM36" s="185">
        <v>1</v>
      </c>
      <c r="BN36" s="185"/>
      <c r="BO36" s="185"/>
      <c r="BP36" s="185"/>
      <c r="BQ36" s="185"/>
      <c r="BR36" s="185"/>
      <c r="BS36" s="185"/>
      <c r="BT36" s="185"/>
      <c r="BU36" s="185"/>
      <c r="BV36" s="185"/>
      <c r="BW36" s="185"/>
      <c r="BX36" s="184">
        <v>-2</v>
      </c>
      <c r="BY36" s="185"/>
      <c r="BZ36" s="154"/>
      <c r="CA36" s="185"/>
      <c r="CB36" s="130">
        <v>2</v>
      </c>
      <c r="CC36" s="130">
        <v>0</v>
      </c>
      <c r="CD36" s="130">
        <v>335</v>
      </c>
      <c r="CE36" s="130">
        <v>4</v>
      </c>
      <c r="CF36" s="133">
        <v>337</v>
      </c>
      <c r="CG36" s="134">
        <v>2</v>
      </c>
    </row>
    <row r="37" spans="1:85" x14ac:dyDescent="0.25">
      <c r="A37" s="14">
        <v>1</v>
      </c>
      <c r="B37" s="254" t="s">
        <v>5</v>
      </c>
      <c r="C37" s="22"/>
      <c r="D37" s="183"/>
      <c r="E37" s="150">
        <v>47</v>
      </c>
      <c r="F37" s="150"/>
      <c r="G37" s="136"/>
      <c r="H37" s="136"/>
      <c r="I37" s="136"/>
      <c r="J37" s="136"/>
      <c r="K37" s="136">
        <v>-1</v>
      </c>
      <c r="L37" s="136"/>
      <c r="M37" s="136"/>
      <c r="N37" s="136"/>
      <c r="O37" s="136">
        <v>-1</v>
      </c>
      <c r="P37" s="136"/>
      <c r="Q37" s="183"/>
      <c r="R37" s="183">
        <v>-5</v>
      </c>
      <c r="S37" s="183"/>
      <c r="T37" s="183"/>
      <c r="U37" s="183">
        <v>-3</v>
      </c>
      <c r="V37" s="183"/>
      <c r="W37" s="183"/>
      <c r="X37" s="131">
        <v>43</v>
      </c>
      <c r="Y37" s="131">
        <v>2</v>
      </c>
      <c r="Z37" s="130"/>
      <c r="AA37" s="130">
        <v>29</v>
      </c>
      <c r="AB37" s="130">
        <v>30</v>
      </c>
      <c r="AC37" s="130">
        <v>8</v>
      </c>
      <c r="AD37" s="130">
        <v>18</v>
      </c>
      <c r="AE37" s="130">
        <v>5</v>
      </c>
      <c r="AF37" s="130">
        <v>3</v>
      </c>
      <c r="AG37" s="130">
        <v>2</v>
      </c>
      <c r="AH37" s="185">
        <v>10</v>
      </c>
      <c r="AI37" s="185">
        <v>7</v>
      </c>
      <c r="AJ37" s="185">
        <v>8</v>
      </c>
      <c r="AK37" s="185">
        <v>124</v>
      </c>
      <c r="AL37" s="185">
        <v>2</v>
      </c>
      <c r="AM37" s="185">
        <v>10</v>
      </c>
      <c r="AN37" s="185">
        <v>4</v>
      </c>
      <c r="AO37" s="185">
        <v>7</v>
      </c>
      <c r="AP37" s="185">
        <v>3</v>
      </c>
      <c r="AQ37" s="185"/>
      <c r="AR37" s="184">
        <v>2</v>
      </c>
      <c r="AS37" s="184">
        <v>5</v>
      </c>
      <c r="AT37" s="185">
        <v>1</v>
      </c>
      <c r="AU37" s="185">
        <v>0</v>
      </c>
      <c r="AV37" s="184">
        <v>8</v>
      </c>
      <c r="AW37" s="184">
        <v>1</v>
      </c>
      <c r="AX37" s="154">
        <v>-9</v>
      </c>
      <c r="AY37" s="185">
        <v>313</v>
      </c>
      <c r="AZ37" s="131">
        <v>3</v>
      </c>
      <c r="BA37" s="131">
        <v>5</v>
      </c>
      <c r="BB37" s="130"/>
      <c r="BC37" s="130"/>
      <c r="BD37" s="130">
        <v>-1</v>
      </c>
      <c r="BE37" s="130"/>
      <c r="BF37" s="130"/>
      <c r="BG37" s="130"/>
      <c r="BH37" s="130"/>
      <c r="BI37" s="130"/>
      <c r="BJ37" s="185"/>
      <c r="BK37" s="185"/>
      <c r="BL37" s="185"/>
      <c r="BM37" s="185"/>
      <c r="BN37" s="185"/>
      <c r="BO37" s="185"/>
      <c r="BP37" s="185"/>
      <c r="BQ37" s="185">
        <v>3</v>
      </c>
      <c r="BR37" s="185"/>
      <c r="BS37" s="185"/>
      <c r="BT37" s="185"/>
      <c r="BU37" s="185"/>
      <c r="BV37" s="185"/>
      <c r="BW37" s="185"/>
      <c r="BX37" s="184"/>
      <c r="BY37" s="185">
        <v>0</v>
      </c>
      <c r="BZ37" s="154"/>
      <c r="CA37" s="185">
        <v>0</v>
      </c>
      <c r="CB37" s="130">
        <v>7</v>
      </c>
      <c r="CC37" s="130">
        <v>0</v>
      </c>
      <c r="CD37" s="130">
        <v>320</v>
      </c>
      <c r="CE37" s="130">
        <v>3</v>
      </c>
      <c r="CF37" s="133">
        <v>316</v>
      </c>
      <c r="CG37" s="134">
        <v>7</v>
      </c>
    </row>
    <row r="38" spans="1:85" x14ac:dyDescent="0.25">
      <c r="A38" s="14">
        <v>22</v>
      </c>
      <c r="B38" s="2" t="s">
        <v>25</v>
      </c>
      <c r="C38" s="15"/>
      <c r="D38" s="183"/>
      <c r="E38" s="150">
        <v>111</v>
      </c>
      <c r="F38" s="150"/>
      <c r="G38" s="136"/>
      <c r="H38" s="136"/>
      <c r="I38" s="136">
        <v>-2</v>
      </c>
      <c r="J38" s="136">
        <v>-1</v>
      </c>
      <c r="K38" s="136">
        <v>-3</v>
      </c>
      <c r="L38" s="136">
        <v>-2</v>
      </c>
      <c r="M38" s="136">
        <v>-3</v>
      </c>
      <c r="N38" s="136"/>
      <c r="O38" s="136"/>
      <c r="P38" s="136"/>
      <c r="Q38" s="183"/>
      <c r="R38" s="183">
        <v>-3</v>
      </c>
      <c r="S38" s="183"/>
      <c r="T38" s="183"/>
      <c r="U38" s="183"/>
      <c r="V38" s="183">
        <v>-1</v>
      </c>
      <c r="W38" s="183"/>
      <c r="X38" s="131">
        <v>107</v>
      </c>
      <c r="Y38" s="131">
        <v>19</v>
      </c>
      <c r="Z38" s="130">
        <v>9</v>
      </c>
      <c r="AA38" s="130">
        <v>9</v>
      </c>
      <c r="AB38" s="130">
        <v>21</v>
      </c>
      <c r="AC38" s="130">
        <v>13</v>
      </c>
      <c r="AD38" s="130">
        <v>8</v>
      </c>
      <c r="AE38" s="130">
        <v>11</v>
      </c>
      <c r="AF38" s="130">
        <v>16</v>
      </c>
      <c r="AG38" s="130">
        <v>8</v>
      </c>
      <c r="AH38" s="185"/>
      <c r="AI38" s="185">
        <v>14</v>
      </c>
      <c r="AJ38" s="185">
        <v>5</v>
      </c>
      <c r="AK38" s="185">
        <v>2</v>
      </c>
      <c r="AL38" s="185">
        <v>10</v>
      </c>
      <c r="AM38" s="185">
        <v>9</v>
      </c>
      <c r="AN38" s="173">
        <v>4</v>
      </c>
      <c r="AO38" s="185">
        <v>3</v>
      </c>
      <c r="AP38" s="185">
        <v>12</v>
      </c>
      <c r="AQ38" s="185">
        <v>1</v>
      </c>
      <c r="AR38" s="184">
        <v>2</v>
      </c>
      <c r="AS38" s="169">
        <v>1</v>
      </c>
      <c r="AT38" s="185">
        <v>16</v>
      </c>
      <c r="AU38" s="185">
        <v>3</v>
      </c>
      <c r="AV38" s="173">
        <v>1</v>
      </c>
      <c r="AW38" s="184">
        <v>1</v>
      </c>
      <c r="AX38" s="154">
        <v>2</v>
      </c>
      <c r="AY38" s="185">
        <v>292</v>
      </c>
      <c r="AZ38" s="131">
        <v>2</v>
      </c>
      <c r="BA38" s="131">
        <v>6</v>
      </c>
      <c r="BB38" s="130">
        <v>1</v>
      </c>
      <c r="BC38" s="130">
        <v>5</v>
      </c>
      <c r="BD38" s="130">
        <v>-1</v>
      </c>
      <c r="BE38" s="130">
        <v>1</v>
      </c>
      <c r="BF38" s="130">
        <v>1</v>
      </c>
      <c r="BG38" s="130"/>
      <c r="BH38" s="130">
        <v>4</v>
      </c>
      <c r="BI38" s="130">
        <v>7</v>
      </c>
      <c r="BJ38" s="185"/>
      <c r="BK38" s="185"/>
      <c r="BL38" s="185">
        <v>1</v>
      </c>
      <c r="BM38" s="185"/>
      <c r="BN38" s="185">
        <v>1</v>
      </c>
      <c r="BO38" s="185">
        <v>1</v>
      </c>
      <c r="BP38" s="185">
        <v>4</v>
      </c>
      <c r="BQ38" s="185">
        <v>3</v>
      </c>
      <c r="BR38" s="185">
        <v>6</v>
      </c>
      <c r="BS38" s="185"/>
      <c r="BT38" s="185"/>
      <c r="BU38" s="185">
        <v>2</v>
      </c>
      <c r="BV38" s="185">
        <v>1</v>
      </c>
      <c r="BW38" s="185"/>
      <c r="BX38" s="184">
        <v>-1</v>
      </c>
      <c r="BY38" s="185"/>
      <c r="BZ38" s="154">
        <v>1</v>
      </c>
      <c r="CA38" s="185">
        <v>0</v>
      </c>
      <c r="CB38" s="130">
        <v>43</v>
      </c>
      <c r="CC38" s="130">
        <v>1</v>
      </c>
      <c r="CD38" s="130">
        <v>335</v>
      </c>
      <c r="CE38" s="130">
        <v>3</v>
      </c>
      <c r="CF38" s="133">
        <v>294</v>
      </c>
      <c r="CG38" s="134">
        <v>44</v>
      </c>
    </row>
    <row r="39" spans="1:85" x14ac:dyDescent="0.25">
      <c r="A39" s="14">
        <v>30</v>
      </c>
      <c r="B39" s="2" t="s">
        <v>33</v>
      </c>
      <c r="C39" s="22"/>
      <c r="D39" s="183">
        <v>-1</v>
      </c>
      <c r="E39" s="150">
        <v>191</v>
      </c>
      <c r="F39" s="150">
        <v>-9</v>
      </c>
      <c r="G39" s="136">
        <v>-5</v>
      </c>
      <c r="H39" s="136"/>
      <c r="I39" s="136">
        <v>-1</v>
      </c>
      <c r="J39" s="136">
        <v>-2</v>
      </c>
      <c r="K39" s="136"/>
      <c r="L39" s="136"/>
      <c r="M39" s="136"/>
      <c r="N39" s="136"/>
      <c r="O39" s="136">
        <v>-5</v>
      </c>
      <c r="P39" s="136"/>
      <c r="Q39" s="183">
        <v>-2</v>
      </c>
      <c r="R39" s="183">
        <v>-2</v>
      </c>
      <c r="S39" s="183">
        <v>-2</v>
      </c>
      <c r="T39" s="183">
        <v>-4</v>
      </c>
      <c r="U39" s="183">
        <v>-2</v>
      </c>
      <c r="V39" s="183"/>
      <c r="W39" s="183">
        <v>-1</v>
      </c>
      <c r="X39" s="131">
        <v>191</v>
      </c>
      <c r="Y39" s="131">
        <v>129</v>
      </c>
      <c r="Z39" s="130">
        <v>75</v>
      </c>
      <c r="AA39" s="130">
        <v>12</v>
      </c>
      <c r="AB39" s="130">
        <v>22</v>
      </c>
      <c r="AC39" s="130">
        <v>60</v>
      </c>
      <c r="AD39" s="130">
        <v>14</v>
      </c>
      <c r="AE39" s="130">
        <v>5</v>
      </c>
      <c r="AF39" s="130">
        <v>26</v>
      </c>
      <c r="AG39" s="130">
        <v>1</v>
      </c>
      <c r="AH39" s="185">
        <v>31</v>
      </c>
      <c r="AI39" s="185">
        <v>5</v>
      </c>
      <c r="AJ39" s="185">
        <v>31</v>
      </c>
      <c r="AK39" s="185">
        <v>54</v>
      </c>
      <c r="AL39" s="185">
        <v>43</v>
      </c>
      <c r="AM39" s="185">
        <v>32</v>
      </c>
      <c r="AN39" s="184">
        <v>8</v>
      </c>
      <c r="AO39" s="185">
        <v>12</v>
      </c>
      <c r="AP39" s="185">
        <v>13</v>
      </c>
      <c r="AQ39" s="185">
        <v>28</v>
      </c>
      <c r="AR39" s="173">
        <v>20</v>
      </c>
      <c r="AS39" s="169">
        <v>16</v>
      </c>
      <c r="AT39" s="185">
        <v>0</v>
      </c>
      <c r="AU39" s="185">
        <v>3</v>
      </c>
      <c r="AV39" s="184">
        <v>1</v>
      </c>
      <c r="AW39" s="169">
        <v>5</v>
      </c>
      <c r="AX39" s="154">
        <v>3</v>
      </c>
      <c r="AY39" s="185">
        <v>805</v>
      </c>
      <c r="AZ39" s="131">
        <v>3</v>
      </c>
      <c r="BA39" s="131">
        <v>4</v>
      </c>
      <c r="BB39" s="130"/>
      <c r="BC39" s="130">
        <v>4</v>
      </c>
      <c r="BD39" s="130">
        <v>-4</v>
      </c>
      <c r="BE39" s="130"/>
      <c r="BF39" s="130"/>
      <c r="BG39" s="130"/>
      <c r="BH39" s="130">
        <v>1</v>
      </c>
      <c r="BI39" s="130"/>
      <c r="BJ39" s="185"/>
      <c r="BK39" s="185">
        <v>1</v>
      </c>
      <c r="BL39" s="185">
        <v>1</v>
      </c>
      <c r="BM39" s="185">
        <v>2</v>
      </c>
      <c r="BN39" s="185"/>
      <c r="BO39" s="185"/>
      <c r="BP39" s="185"/>
      <c r="BQ39" s="185"/>
      <c r="BR39" s="185"/>
      <c r="BS39" s="185"/>
      <c r="BT39" s="185"/>
      <c r="BU39" s="185"/>
      <c r="BV39" s="185"/>
      <c r="BW39" s="184"/>
      <c r="BX39" s="184"/>
      <c r="BY39" s="185"/>
      <c r="BZ39" s="154"/>
      <c r="CA39" s="185">
        <v>0</v>
      </c>
      <c r="CB39" s="130">
        <v>9</v>
      </c>
      <c r="CC39" s="130">
        <v>0</v>
      </c>
      <c r="CD39" s="130">
        <v>814</v>
      </c>
      <c r="CE39" s="130">
        <v>3</v>
      </c>
      <c r="CF39" s="133">
        <v>807</v>
      </c>
      <c r="CG39" s="134">
        <v>9</v>
      </c>
    </row>
    <row r="40" spans="1:85" x14ac:dyDescent="0.25">
      <c r="A40" s="14">
        <v>35</v>
      </c>
      <c r="B40" s="2" t="s">
        <v>38</v>
      </c>
      <c r="C40" s="15"/>
      <c r="D40" s="183"/>
      <c r="E40" s="150">
        <v>85</v>
      </c>
      <c r="F40" s="150">
        <v>-1</v>
      </c>
      <c r="G40" s="136">
        <v>-1</v>
      </c>
      <c r="H40" s="136">
        <v>-1</v>
      </c>
      <c r="I40" s="136">
        <v>-3</v>
      </c>
      <c r="J40" s="136"/>
      <c r="K40" s="136"/>
      <c r="L40" s="136">
        <v>-1</v>
      </c>
      <c r="M40" s="136">
        <v>-2</v>
      </c>
      <c r="N40" s="136"/>
      <c r="O40" s="136">
        <v>-6</v>
      </c>
      <c r="P40" s="136"/>
      <c r="Q40" s="183"/>
      <c r="R40" s="183"/>
      <c r="S40" s="183">
        <v>-1</v>
      </c>
      <c r="T40" s="183"/>
      <c r="U40" s="183"/>
      <c r="V40" s="183"/>
      <c r="W40" s="183"/>
      <c r="X40" s="131">
        <v>84</v>
      </c>
      <c r="Y40" s="131">
        <v>3</v>
      </c>
      <c r="Z40" s="130">
        <v>4</v>
      </c>
      <c r="AA40" s="130">
        <v>6</v>
      </c>
      <c r="AB40" s="130">
        <v>3</v>
      </c>
      <c r="AC40" s="130">
        <v>12</v>
      </c>
      <c r="AD40" s="130">
        <v>8</v>
      </c>
      <c r="AE40" s="130">
        <v>13</v>
      </c>
      <c r="AF40" s="130">
        <v>18</v>
      </c>
      <c r="AG40" s="130">
        <v>11</v>
      </c>
      <c r="AH40" s="185">
        <v>6</v>
      </c>
      <c r="AI40" s="169">
        <v>9</v>
      </c>
      <c r="AJ40" s="185">
        <v>14</v>
      </c>
      <c r="AK40" s="185">
        <v>2</v>
      </c>
      <c r="AL40" s="169">
        <v>5</v>
      </c>
      <c r="AM40" s="169">
        <v>5</v>
      </c>
      <c r="AN40" s="130"/>
      <c r="AO40" s="185"/>
      <c r="AP40" s="185">
        <v>2</v>
      </c>
      <c r="AQ40" s="185">
        <v>3</v>
      </c>
      <c r="AR40" s="185">
        <v>2</v>
      </c>
      <c r="AS40" s="169">
        <v>4</v>
      </c>
      <c r="AT40" s="185">
        <v>0</v>
      </c>
      <c r="AU40" s="228">
        <v>5</v>
      </c>
      <c r="AV40" s="173">
        <v>1</v>
      </c>
      <c r="AW40" s="184">
        <v>0</v>
      </c>
      <c r="AX40" s="154">
        <v>2</v>
      </c>
      <c r="AY40" s="185">
        <v>206</v>
      </c>
      <c r="AZ40" s="131">
        <v>0</v>
      </c>
      <c r="BA40" s="131">
        <v>1</v>
      </c>
      <c r="BB40" s="130"/>
      <c r="BC40" s="130"/>
      <c r="BD40" s="130">
        <v>-1</v>
      </c>
      <c r="BE40" s="130"/>
      <c r="BF40" s="130"/>
      <c r="BG40" s="130">
        <v>1</v>
      </c>
      <c r="BH40" s="130">
        <v>9</v>
      </c>
      <c r="BI40" s="130">
        <v>13</v>
      </c>
      <c r="BJ40" s="185"/>
      <c r="BK40" s="169">
        <v>6</v>
      </c>
      <c r="BL40" s="185">
        <v>1</v>
      </c>
      <c r="BM40" s="185">
        <v>9</v>
      </c>
      <c r="BN40" s="169"/>
      <c r="BO40" s="169">
        <v>-1</v>
      </c>
      <c r="BP40" s="185">
        <v>0</v>
      </c>
      <c r="BQ40" s="185"/>
      <c r="BR40" s="185"/>
      <c r="BS40" s="185">
        <v>1</v>
      </c>
      <c r="BT40" s="185">
        <v>1</v>
      </c>
      <c r="BU40" s="185"/>
      <c r="BV40" s="185"/>
      <c r="BW40" s="225"/>
      <c r="BX40" s="184">
        <v>-2</v>
      </c>
      <c r="BY40" s="185"/>
      <c r="BZ40" s="154">
        <v>2</v>
      </c>
      <c r="CA40" s="185">
        <v>0</v>
      </c>
      <c r="CB40" s="130">
        <v>40</v>
      </c>
      <c r="CC40" s="130">
        <v>3</v>
      </c>
      <c r="CD40" s="130">
        <v>246</v>
      </c>
      <c r="CE40" s="130">
        <v>3</v>
      </c>
      <c r="CF40" s="133">
        <v>206</v>
      </c>
      <c r="CG40" s="134">
        <v>43</v>
      </c>
    </row>
    <row r="41" spans="1:85" x14ac:dyDescent="0.25">
      <c r="A41" s="14">
        <v>45</v>
      </c>
      <c r="B41" s="2" t="s">
        <v>48</v>
      </c>
      <c r="C41" s="15"/>
      <c r="D41" s="183"/>
      <c r="E41" s="150">
        <v>52</v>
      </c>
      <c r="F41" s="150"/>
      <c r="G41" s="136"/>
      <c r="H41" s="136"/>
      <c r="I41" s="136">
        <v>-1</v>
      </c>
      <c r="J41" s="136"/>
      <c r="K41" s="136"/>
      <c r="L41" s="136"/>
      <c r="M41" s="136"/>
      <c r="N41" s="136"/>
      <c r="O41" s="136"/>
      <c r="P41" s="136"/>
      <c r="Q41" s="183">
        <v>-3</v>
      </c>
      <c r="R41" s="183"/>
      <c r="S41" s="183">
        <v>-1</v>
      </c>
      <c r="T41" s="183"/>
      <c r="U41" s="183"/>
      <c r="V41" s="183"/>
      <c r="W41" s="183"/>
      <c r="X41" s="131">
        <v>49</v>
      </c>
      <c r="Y41" s="131"/>
      <c r="Z41" s="130"/>
      <c r="AA41" s="130">
        <v>4</v>
      </c>
      <c r="AB41" s="130">
        <v>6</v>
      </c>
      <c r="AC41" s="130"/>
      <c r="AD41" s="130">
        <v>1</v>
      </c>
      <c r="AE41" s="130">
        <v>2</v>
      </c>
      <c r="AF41" s="130">
        <v>7</v>
      </c>
      <c r="AG41" s="130">
        <v>3</v>
      </c>
      <c r="AH41" s="185">
        <v>1</v>
      </c>
      <c r="AI41" s="185">
        <v>1</v>
      </c>
      <c r="AJ41" s="185">
        <v>10</v>
      </c>
      <c r="AK41" s="185">
        <v>1</v>
      </c>
      <c r="AL41" s="185">
        <v>6</v>
      </c>
      <c r="AM41" s="185">
        <v>2</v>
      </c>
      <c r="AN41" s="184">
        <v>2</v>
      </c>
      <c r="AO41" s="185">
        <v>2</v>
      </c>
      <c r="AP41" s="185"/>
      <c r="AQ41" s="185"/>
      <c r="AR41" s="173">
        <v>0</v>
      </c>
      <c r="AS41" s="173">
        <v>0</v>
      </c>
      <c r="AT41" s="185">
        <v>1</v>
      </c>
      <c r="AU41" s="185">
        <v>2</v>
      </c>
      <c r="AV41" s="184">
        <v>1</v>
      </c>
      <c r="AW41" s="229">
        <v>0</v>
      </c>
      <c r="AX41" s="154">
        <v>1</v>
      </c>
      <c r="AY41" s="185">
        <v>97</v>
      </c>
      <c r="AZ41" s="131">
        <v>1</v>
      </c>
      <c r="BA41" s="131">
        <v>6</v>
      </c>
      <c r="BB41" s="130"/>
      <c r="BC41" s="130"/>
      <c r="BD41" s="130">
        <v>-1</v>
      </c>
      <c r="BE41" s="130"/>
      <c r="BF41" s="130"/>
      <c r="BG41" s="130"/>
      <c r="BH41" s="130"/>
      <c r="BI41" s="130"/>
      <c r="BJ41" s="185"/>
      <c r="BK41" s="185"/>
      <c r="BL41" s="185"/>
      <c r="BM41" s="185">
        <v>1</v>
      </c>
      <c r="BN41" s="185"/>
      <c r="BO41" s="185">
        <v>1</v>
      </c>
      <c r="BP41" s="185"/>
      <c r="BQ41" s="185"/>
      <c r="BR41" s="185"/>
      <c r="BS41" s="185"/>
      <c r="BT41" s="185"/>
      <c r="BU41" s="185"/>
      <c r="BV41" s="185"/>
      <c r="BW41" s="185"/>
      <c r="BX41" s="184"/>
      <c r="BY41" s="228"/>
      <c r="BZ41" s="154"/>
      <c r="CA41" s="185">
        <v>0</v>
      </c>
      <c r="CB41" s="130">
        <v>7</v>
      </c>
      <c r="CC41" s="130">
        <v>2</v>
      </c>
      <c r="CD41" s="130">
        <v>104</v>
      </c>
      <c r="CE41" s="130">
        <v>3</v>
      </c>
      <c r="CF41" s="133">
        <v>98</v>
      </c>
      <c r="CG41" s="134">
        <v>9</v>
      </c>
    </row>
    <row r="42" spans="1:85" x14ac:dyDescent="0.25">
      <c r="A42" s="14">
        <v>46</v>
      </c>
      <c r="B42" s="2" t="s">
        <v>49</v>
      </c>
      <c r="C42" s="15"/>
      <c r="D42" s="183"/>
      <c r="E42" s="150">
        <v>30</v>
      </c>
      <c r="F42" s="150"/>
      <c r="G42" s="136"/>
      <c r="H42" s="136"/>
      <c r="I42" s="136">
        <v>-1</v>
      </c>
      <c r="J42" s="136"/>
      <c r="K42" s="136"/>
      <c r="L42" s="136">
        <v>-2</v>
      </c>
      <c r="M42" s="136"/>
      <c r="N42" s="136"/>
      <c r="O42" s="136"/>
      <c r="P42" s="136">
        <v>-1</v>
      </c>
      <c r="Q42" s="183">
        <v>-1</v>
      </c>
      <c r="R42" s="183"/>
      <c r="S42" s="183"/>
      <c r="T42" s="183">
        <v>-2</v>
      </c>
      <c r="U42" s="183">
        <v>-3</v>
      </c>
      <c r="V42" s="183">
        <v>-1</v>
      </c>
      <c r="W42" s="183">
        <v>-2</v>
      </c>
      <c r="X42" s="131">
        <v>33</v>
      </c>
      <c r="Y42" s="131">
        <v>1</v>
      </c>
      <c r="Z42" s="130">
        <v>74</v>
      </c>
      <c r="AA42" s="130">
        <v>17</v>
      </c>
      <c r="AB42" s="130">
        <v>3</v>
      </c>
      <c r="AC42" s="130">
        <v>7</v>
      </c>
      <c r="AD42" s="130">
        <v>6</v>
      </c>
      <c r="AE42" s="130">
        <v>16</v>
      </c>
      <c r="AF42" s="130">
        <v>6</v>
      </c>
      <c r="AG42" s="130">
        <v>3</v>
      </c>
      <c r="AH42" s="185">
        <v>8</v>
      </c>
      <c r="AI42" s="185">
        <v>2</v>
      </c>
      <c r="AJ42" s="185">
        <v>5</v>
      </c>
      <c r="AK42" s="185">
        <v>6</v>
      </c>
      <c r="AL42" s="185">
        <v>3</v>
      </c>
      <c r="AM42" s="185">
        <v>8</v>
      </c>
      <c r="AN42" s="185">
        <v>2</v>
      </c>
      <c r="AO42" s="185">
        <v>13</v>
      </c>
      <c r="AP42" s="185">
        <v>2</v>
      </c>
      <c r="AQ42" s="185">
        <v>1</v>
      </c>
      <c r="AR42" s="185">
        <v>6</v>
      </c>
      <c r="AS42" s="185">
        <v>0</v>
      </c>
      <c r="AT42" s="185">
        <v>5</v>
      </c>
      <c r="AU42" s="185">
        <v>3</v>
      </c>
      <c r="AV42" s="184">
        <v>1</v>
      </c>
      <c r="AW42" s="169">
        <v>0</v>
      </c>
      <c r="AX42" s="154">
        <v>2</v>
      </c>
      <c r="AY42" s="185">
        <v>220</v>
      </c>
      <c r="AZ42" s="131">
        <v>2</v>
      </c>
      <c r="BA42" s="131"/>
      <c r="BB42" s="130"/>
      <c r="BC42" s="130">
        <v>3</v>
      </c>
      <c r="BD42" s="130">
        <v>1</v>
      </c>
      <c r="BE42" s="130"/>
      <c r="BF42" s="130"/>
      <c r="BG42" s="130"/>
      <c r="BH42" s="130">
        <v>1</v>
      </c>
      <c r="BI42" s="130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>
        <v>1</v>
      </c>
      <c r="BT42" s="185"/>
      <c r="BU42" s="185"/>
      <c r="BV42" s="184"/>
      <c r="BW42" s="185"/>
      <c r="BX42" s="184"/>
      <c r="BY42" s="185"/>
      <c r="BZ42" s="154">
        <v>1</v>
      </c>
      <c r="CA42" s="185">
        <v>0</v>
      </c>
      <c r="CB42" s="130">
        <v>7</v>
      </c>
      <c r="CC42" s="130">
        <v>1</v>
      </c>
      <c r="CD42" s="130">
        <v>227</v>
      </c>
      <c r="CE42" s="130">
        <v>3</v>
      </c>
      <c r="CF42" s="133">
        <v>222</v>
      </c>
      <c r="CG42" s="134">
        <v>8</v>
      </c>
    </row>
    <row r="43" spans="1:85" x14ac:dyDescent="0.25">
      <c r="A43" s="14">
        <v>63</v>
      </c>
      <c r="B43" s="2" t="s">
        <v>66</v>
      </c>
      <c r="C43" s="22"/>
      <c r="D43" s="183"/>
      <c r="E43" s="150">
        <v>102</v>
      </c>
      <c r="F43" s="150"/>
      <c r="G43" s="136"/>
      <c r="H43" s="136">
        <v>-1</v>
      </c>
      <c r="I43" s="136">
        <v>-1</v>
      </c>
      <c r="J43" s="136">
        <v>-2</v>
      </c>
      <c r="K43" s="136">
        <v>-3</v>
      </c>
      <c r="L43" s="136"/>
      <c r="M43" s="136"/>
      <c r="N43" s="136"/>
      <c r="O43" s="136"/>
      <c r="P43" s="136"/>
      <c r="Q43" s="183"/>
      <c r="R43" s="183">
        <v>-1</v>
      </c>
      <c r="S43" s="183">
        <v>-1</v>
      </c>
      <c r="T43" s="183">
        <v>-2</v>
      </c>
      <c r="U43" s="183">
        <v>-8</v>
      </c>
      <c r="V43" s="183"/>
      <c r="W43" s="183"/>
      <c r="X43" s="131">
        <v>105</v>
      </c>
      <c r="Y43" s="131">
        <v>4</v>
      </c>
      <c r="Z43" s="130">
        <v>1</v>
      </c>
      <c r="AA43" s="130">
        <v>21</v>
      </c>
      <c r="AB43" s="130">
        <v>5</v>
      </c>
      <c r="AC43" s="130">
        <v>29</v>
      </c>
      <c r="AD43" s="130">
        <v>11</v>
      </c>
      <c r="AE43" s="130">
        <v>6</v>
      </c>
      <c r="AF43" s="130">
        <v>8</v>
      </c>
      <c r="AG43" s="130">
        <v>6</v>
      </c>
      <c r="AH43" s="185">
        <v>12</v>
      </c>
      <c r="AI43" s="185">
        <v>4</v>
      </c>
      <c r="AJ43" s="185">
        <v>1</v>
      </c>
      <c r="AK43" s="185">
        <v>2</v>
      </c>
      <c r="AL43" s="169">
        <v>13</v>
      </c>
      <c r="AM43" s="185">
        <v>8</v>
      </c>
      <c r="AN43" s="184">
        <v>19</v>
      </c>
      <c r="AO43" s="185">
        <v>11</v>
      </c>
      <c r="AP43" s="185">
        <v>7</v>
      </c>
      <c r="AQ43" s="185">
        <v>2</v>
      </c>
      <c r="AR43" s="185">
        <v>3</v>
      </c>
      <c r="AS43" s="185">
        <v>9</v>
      </c>
      <c r="AT43" s="185">
        <v>6</v>
      </c>
      <c r="AU43" s="185">
        <v>2</v>
      </c>
      <c r="AV43" s="184">
        <v>4</v>
      </c>
      <c r="AW43" s="185">
        <v>1</v>
      </c>
      <c r="AX43" s="154">
        <v>-1</v>
      </c>
      <c r="AY43" s="185">
        <v>280</v>
      </c>
      <c r="AZ43" s="131">
        <v>3</v>
      </c>
      <c r="BA43" s="131">
        <v>2</v>
      </c>
      <c r="BB43" s="130">
        <v>1</v>
      </c>
      <c r="BC43" s="130"/>
      <c r="BD43" s="130">
        <v>4</v>
      </c>
      <c r="BE43" s="130"/>
      <c r="BF43" s="130"/>
      <c r="BG43" s="130"/>
      <c r="BH43" s="130"/>
      <c r="BI43" s="130"/>
      <c r="BJ43" s="185"/>
      <c r="BK43" s="185"/>
      <c r="BL43" s="185"/>
      <c r="BM43" s="185"/>
      <c r="BN43" s="169"/>
      <c r="BO43" s="185"/>
      <c r="BP43" s="185"/>
      <c r="BQ43" s="185"/>
      <c r="BR43" s="185">
        <v>1</v>
      </c>
      <c r="BS43" s="185">
        <v>1</v>
      </c>
      <c r="BT43" s="185"/>
      <c r="BU43" s="185"/>
      <c r="BV43" s="185"/>
      <c r="BW43" s="185"/>
      <c r="BX43" s="184"/>
      <c r="BY43" s="185"/>
      <c r="BZ43" s="154">
        <v>1</v>
      </c>
      <c r="CA43" s="185"/>
      <c r="CB43" s="130">
        <v>10</v>
      </c>
      <c r="CC43" s="130">
        <v>0</v>
      </c>
      <c r="CD43" s="130">
        <v>290</v>
      </c>
      <c r="CE43" s="130">
        <v>3</v>
      </c>
      <c r="CF43" s="133">
        <v>283</v>
      </c>
      <c r="CG43" s="134">
        <v>10</v>
      </c>
    </row>
    <row r="44" spans="1:85" x14ac:dyDescent="0.25">
      <c r="A44" s="14">
        <v>73</v>
      </c>
      <c r="B44" s="2" t="s">
        <v>76</v>
      </c>
      <c r="C44" s="15"/>
      <c r="D44" s="183">
        <v>-1</v>
      </c>
      <c r="E44" s="150">
        <v>206</v>
      </c>
      <c r="F44" s="150">
        <v>-2</v>
      </c>
      <c r="G44" s="136"/>
      <c r="H44" s="136">
        <v>-13</v>
      </c>
      <c r="I44" s="136">
        <v>-7</v>
      </c>
      <c r="J44" s="136"/>
      <c r="K44" s="136"/>
      <c r="L44" s="136">
        <v>-2</v>
      </c>
      <c r="M44" s="136"/>
      <c r="N44" s="136"/>
      <c r="O44" s="136">
        <v>-5</v>
      </c>
      <c r="P44" s="136">
        <v>-3</v>
      </c>
      <c r="Q44" s="183">
        <v>-2</v>
      </c>
      <c r="R44" s="183">
        <v>-1</v>
      </c>
      <c r="S44" s="183">
        <v>-3</v>
      </c>
      <c r="T44" s="183">
        <v>-1</v>
      </c>
      <c r="U44" s="183">
        <v>-17</v>
      </c>
      <c r="V44" s="183">
        <v>-1</v>
      </c>
      <c r="W44" s="183"/>
      <c r="X44" s="131">
        <v>211</v>
      </c>
      <c r="Y44" s="131">
        <v>11</v>
      </c>
      <c r="Z44" s="130">
        <v>3</v>
      </c>
      <c r="AA44" s="130">
        <v>25</v>
      </c>
      <c r="AB44" s="130">
        <v>13</v>
      </c>
      <c r="AC44" s="130">
        <v>3</v>
      </c>
      <c r="AD44" s="130">
        <v>3</v>
      </c>
      <c r="AE44" s="130">
        <v>7</v>
      </c>
      <c r="AF44" s="130">
        <v>2</v>
      </c>
      <c r="AG44" s="130"/>
      <c r="AH44" s="185">
        <v>18</v>
      </c>
      <c r="AI44" s="185">
        <v>6</v>
      </c>
      <c r="AJ44" s="185">
        <v>6</v>
      </c>
      <c r="AK44" s="185">
        <v>6</v>
      </c>
      <c r="AL44" s="185">
        <v>7</v>
      </c>
      <c r="AM44" s="185">
        <v>6</v>
      </c>
      <c r="AN44" s="173">
        <v>3</v>
      </c>
      <c r="AO44" s="185">
        <v>22</v>
      </c>
      <c r="AP44" s="185">
        <v>10</v>
      </c>
      <c r="AQ44" s="185">
        <v>1</v>
      </c>
      <c r="AR44" s="184">
        <v>32</v>
      </c>
      <c r="AS44" s="184">
        <v>4</v>
      </c>
      <c r="AT44" s="185">
        <v>1</v>
      </c>
      <c r="AU44" s="169">
        <v>3</v>
      </c>
      <c r="AV44" s="173">
        <v>4</v>
      </c>
      <c r="AW44" s="185">
        <v>1</v>
      </c>
      <c r="AX44" s="154">
        <v>0</v>
      </c>
      <c r="AY44" s="185">
        <v>351</v>
      </c>
      <c r="AZ44" s="131">
        <v>3</v>
      </c>
      <c r="BA44" s="131">
        <v>3</v>
      </c>
      <c r="BB44" s="130"/>
      <c r="BC44" s="130">
        <v>1</v>
      </c>
      <c r="BD44" s="130">
        <v>-2</v>
      </c>
      <c r="BE44" s="130"/>
      <c r="BF44" s="130">
        <v>-1</v>
      </c>
      <c r="BG44" s="130"/>
      <c r="BH44" s="130"/>
      <c r="BI44" s="130"/>
      <c r="BJ44" s="185"/>
      <c r="BK44" s="185"/>
      <c r="BL44" s="185"/>
      <c r="BM44" s="185"/>
      <c r="BN44" s="185"/>
      <c r="BO44" s="185">
        <v>1</v>
      </c>
      <c r="BP44" s="185"/>
      <c r="BQ44" s="185"/>
      <c r="BR44" s="185">
        <v>1</v>
      </c>
      <c r="BS44" s="185"/>
      <c r="BT44" s="185"/>
      <c r="BU44" s="185"/>
      <c r="BV44" s="185"/>
      <c r="BW44" s="185"/>
      <c r="BX44" s="184"/>
      <c r="BY44" s="185"/>
      <c r="BZ44" s="154"/>
      <c r="CA44" s="185"/>
      <c r="CB44" s="130">
        <v>3</v>
      </c>
      <c r="CC44" s="130">
        <v>0</v>
      </c>
      <c r="CD44" s="130">
        <v>354</v>
      </c>
      <c r="CE44" s="130">
        <v>3</v>
      </c>
      <c r="CF44" s="133">
        <v>353</v>
      </c>
      <c r="CG44" s="134">
        <v>3</v>
      </c>
    </row>
    <row r="45" spans="1:85" x14ac:dyDescent="0.25">
      <c r="A45" s="14">
        <v>80</v>
      </c>
      <c r="B45" s="2" t="s">
        <v>83</v>
      </c>
      <c r="C45" s="15"/>
      <c r="D45" s="183"/>
      <c r="E45" s="150">
        <v>164</v>
      </c>
      <c r="F45" s="150"/>
      <c r="G45" s="136"/>
      <c r="H45" s="136"/>
      <c r="I45" s="136">
        <v>-2</v>
      </c>
      <c r="J45" s="136"/>
      <c r="K45" s="136">
        <v>-1</v>
      </c>
      <c r="L45" s="136"/>
      <c r="M45" s="136">
        <v>-1</v>
      </c>
      <c r="N45" s="136"/>
      <c r="O45" s="136"/>
      <c r="P45" s="136"/>
      <c r="Q45" s="183"/>
      <c r="R45" s="183">
        <v>-1</v>
      </c>
      <c r="S45" s="183">
        <v>-2</v>
      </c>
      <c r="T45" s="183"/>
      <c r="U45" s="183">
        <v>-1</v>
      </c>
      <c r="V45" s="183"/>
      <c r="W45" s="183"/>
      <c r="X45" s="131">
        <v>164</v>
      </c>
      <c r="Y45" s="131"/>
      <c r="Z45" s="130">
        <v>1</v>
      </c>
      <c r="AA45" s="130">
        <v>9</v>
      </c>
      <c r="AB45" s="130">
        <v>5</v>
      </c>
      <c r="AC45" s="130">
        <v>1</v>
      </c>
      <c r="AD45" s="130">
        <v>3</v>
      </c>
      <c r="AE45" s="130"/>
      <c r="AF45" s="130">
        <v>5</v>
      </c>
      <c r="AG45" s="130">
        <v>1</v>
      </c>
      <c r="AH45" s="185"/>
      <c r="AI45" s="185">
        <v>2</v>
      </c>
      <c r="AJ45" s="185">
        <v>2</v>
      </c>
      <c r="AK45" s="185">
        <v>1</v>
      </c>
      <c r="AL45" s="185">
        <v>7</v>
      </c>
      <c r="AM45" s="185">
        <v>5</v>
      </c>
      <c r="AN45" s="173">
        <v>2</v>
      </c>
      <c r="AO45" s="185">
        <v>2</v>
      </c>
      <c r="AP45" s="185">
        <v>1</v>
      </c>
      <c r="AQ45" s="185"/>
      <c r="AR45" s="184">
        <v>11</v>
      </c>
      <c r="AS45" s="184">
        <v>9</v>
      </c>
      <c r="AT45" s="185"/>
      <c r="AU45" s="185">
        <v>4</v>
      </c>
      <c r="AV45" s="173">
        <v>9</v>
      </c>
      <c r="AW45" s="169">
        <v>10</v>
      </c>
      <c r="AX45" s="154">
        <v>4</v>
      </c>
      <c r="AY45" s="185">
        <v>250</v>
      </c>
      <c r="AZ45" s="131">
        <v>3</v>
      </c>
      <c r="BA45" s="131">
        <v>1</v>
      </c>
      <c r="BB45" s="130"/>
      <c r="BC45" s="130"/>
      <c r="BD45" s="130"/>
      <c r="BE45" s="130"/>
      <c r="BF45" s="130"/>
      <c r="BG45" s="130"/>
      <c r="BH45" s="130"/>
      <c r="BI45" s="130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  <c r="BV45" s="184"/>
      <c r="BW45" s="185"/>
      <c r="BX45" s="184"/>
      <c r="BY45" s="185"/>
      <c r="BZ45" s="154"/>
      <c r="CA45" s="185"/>
      <c r="CB45" s="130">
        <v>1</v>
      </c>
      <c r="CC45" s="130">
        <v>0</v>
      </c>
      <c r="CD45" s="130">
        <v>251</v>
      </c>
      <c r="CE45" s="130">
        <v>3</v>
      </c>
      <c r="CF45" s="133">
        <v>253</v>
      </c>
      <c r="CG45" s="134">
        <v>1</v>
      </c>
    </row>
    <row r="46" spans="1:85" x14ac:dyDescent="0.25">
      <c r="A46" s="14">
        <v>7</v>
      </c>
      <c r="B46" s="2" t="s">
        <v>11</v>
      </c>
      <c r="C46" s="15"/>
      <c r="D46" s="183">
        <v>-1</v>
      </c>
      <c r="E46" s="150">
        <v>79</v>
      </c>
      <c r="F46" s="150"/>
      <c r="G46" s="136">
        <v>-1</v>
      </c>
      <c r="H46" s="136"/>
      <c r="I46" s="136"/>
      <c r="J46" s="136"/>
      <c r="K46" s="136"/>
      <c r="L46" s="136"/>
      <c r="M46" s="136"/>
      <c r="N46" s="136"/>
      <c r="O46" s="136"/>
      <c r="P46" s="136">
        <v>-1</v>
      </c>
      <c r="Q46" s="183">
        <v>-5</v>
      </c>
      <c r="R46" s="183"/>
      <c r="S46" s="183">
        <v>-2</v>
      </c>
      <c r="T46" s="183"/>
      <c r="U46" s="183"/>
      <c r="V46" s="183"/>
      <c r="W46" s="183"/>
      <c r="X46" s="131">
        <v>84</v>
      </c>
      <c r="Y46" s="131">
        <v>13</v>
      </c>
      <c r="Z46" s="130">
        <v>1</v>
      </c>
      <c r="AA46" s="130">
        <v>1</v>
      </c>
      <c r="AB46" s="130">
        <v>2</v>
      </c>
      <c r="AC46" s="130">
        <v>12</v>
      </c>
      <c r="AD46" s="130">
        <v>7</v>
      </c>
      <c r="AE46" s="130">
        <v>4</v>
      </c>
      <c r="AF46" s="130">
        <v>2</v>
      </c>
      <c r="AG46" s="130">
        <v>2</v>
      </c>
      <c r="AH46" s="185">
        <v>3</v>
      </c>
      <c r="AI46" s="169">
        <v>2</v>
      </c>
      <c r="AJ46" s="185">
        <v>40</v>
      </c>
      <c r="AK46" s="169">
        <v>22</v>
      </c>
      <c r="AL46" s="185">
        <v>97</v>
      </c>
      <c r="AM46" s="185">
        <v>37</v>
      </c>
      <c r="AN46" s="184">
        <v>33</v>
      </c>
      <c r="AO46" s="185">
        <v>1</v>
      </c>
      <c r="AP46" s="185">
        <v>12</v>
      </c>
      <c r="AQ46" s="185">
        <v>25</v>
      </c>
      <c r="AR46" s="184">
        <v>10</v>
      </c>
      <c r="AS46" s="169">
        <v>5</v>
      </c>
      <c r="AT46" s="169">
        <v>2</v>
      </c>
      <c r="AU46" s="228">
        <v>6</v>
      </c>
      <c r="AV46" s="173">
        <v>-3</v>
      </c>
      <c r="AW46" s="169">
        <v>1</v>
      </c>
      <c r="AX46" s="154">
        <v>0</v>
      </c>
      <c r="AY46" s="185">
        <v>412</v>
      </c>
      <c r="AZ46" s="131">
        <v>2</v>
      </c>
      <c r="BA46" s="131">
        <v>2</v>
      </c>
      <c r="BB46" s="130">
        <v>1</v>
      </c>
      <c r="BC46" s="130"/>
      <c r="BD46" s="130">
        <v>-1</v>
      </c>
      <c r="BE46" s="130"/>
      <c r="BF46" s="130"/>
      <c r="BG46" s="130"/>
      <c r="BH46" s="130"/>
      <c r="BI46" s="130"/>
      <c r="BJ46" s="185"/>
      <c r="BK46" s="169"/>
      <c r="BL46" s="185"/>
      <c r="BM46" s="169">
        <v>2</v>
      </c>
      <c r="BN46" s="185"/>
      <c r="BO46" s="185"/>
      <c r="BP46" s="185"/>
      <c r="BQ46" s="185"/>
      <c r="BR46" s="185"/>
      <c r="BS46" s="185"/>
      <c r="BT46" s="185"/>
      <c r="BU46" s="185"/>
      <c r="BV46" s="185"/>
      <c r="BW46" s="228"/>
      <c r="BX46" s="184"/>
      <c r="BY46" s="185"/>
      <c r="BZ46" s="154"/>
      <c r="CA46" s="185">
        <v>0</v>
      </c>
      <c r="CB46" s="130">
        <v>4</v>
      </c>
      <c r="CC46" s="130">
        <v>0</v>
      </c>
      <c r="CD46" s="130">
        <v>416</v>
      </c>
      <c r="CE46" s="130">
        <v>2</v>
      </c>
      <c r="CF46" s="133">
        <v>413</v>
      </c>
      <c r="CG46" s="134">
        <v>4</v>
      </c>
    </row>
    <row r="47" spans="1:85" x14ac:dyDescent="0.25">
      <c r="A47" s="14">
        <v>10</v>
      </c>
      <c r="B47" s="2" t="s">
        <v>14</v>
      </c>
      <c r="C47" s="15"/>
      <c r="D47" s="183"/>
      <c r="E47" s="150">
        <v>148</v>
      </c>
      <c r="F47" s="150"/>
      <c r="G47" s="136"/>
      <c r="H47" s="136">
        <v>-2</v>
      </c>
      <c r="I47" s="136">
        <v>-1</v>
      </c>
      <c r="J47" s="136"/>
      <c r="K47" s="136"/>
      <c r="L47" s="136">
        <v>-12</v>
      </c>
      <c r="M47" s="136">
        <v>-3</v>
      </c>
      <c r="N47" s="136"/>
      <c r="O47" s="136"/>
      <c r="P47" s="136"/>
      <c r="Q47" s="183"/>
      <c r="R47" s="183">
        <v>-1</v>
      </c>
      <c r="S47" s="183"/>
      <c r="T47" s="183">
        <v>-1</v>
      </c>
      <c r="U47" s="183">
        <v>-1</v>
      </c>
      <c r="V47" s="183">
        <v>-1</v>
      </c>
      <c r="W47" s="183"/>
      <c r="X47" s="131">
        <v>151</v>
      </c>
      <c r="Y47" s="131">
        <v>3</v>
      </c>
      <c r="Z47" s="130">
        <v>1</v>
      </c>
      <c r="AA47" s="130">
        <v>15</v>
      </c>
      <c r="AB47" s="130">
        <v>6</v>
      </c>
      <c r="AC47" s="130">
        <v>7</v>
      </c>
      <c r="AD47" s="130">
        <v>12</v>
      </c>
      <c r="AE47" s="130">
        <v>39</v>
      </c>
      <c r="AF47" s="130">
        <v>14</v>
      </c>
      <c r="AG47" s="130">
        <v>11</v>
      </c>
      <c r="AH47" s="185">
        <v>13</v>
      </c>
      <c r="AI47" s="185">
        <v>2</v>
      </c>
      <c r="AJ47" s="185">
        <v>2</v>
      </c>
      <c r="AK47" s="185">
        <v>6</v>
      </c>
      <c r="AL47" s="185">
        <v>1</v>
      </c>
      <c r="AM47" s="185">
        <v>5</v>
      </c>
      <c r="AN47" s="184">
        <v>1</v>
      </c>
      <c r="AO47" s="185">
        <v>3</v>
      </c>
      <c r="AP47" s="185">
        <v>1</v>
      </c>
      <c r="AQ47" s="185"/>
      <c r="AR47" s="184">
        <v>0</v>
      </c>
      <c r="AS47" s="185">
        <v>1</v>
      </c>
      <c r="AT47" s="169">
        <v>1</v>
      </c>
      <c r="AU47" s="169">
        <v>0</v>
      </c>
      <c r="AV47" s="173">
        <v>2</v>
      </c>
      <c r="AW47" s="229">
        <v>5</v>
      </c>
      <c r="AX47" s="224">
        <v>2</v>
      </c>
      <c r="AY47" s="185">
        <v>282</v>
      </c>
      <c r="AZ47" s="131">
        <v>2</v>
      </c>
      <c r="BA47" s="131"/>
      <c r="BB47" s="130"/>
      <c r="BC47" s="130"/>
      <c r="BD47" s="130"/>
      <c r="BE47" s="130"/>
      <c r="BF47" s="130"/>
      <c r="BG47" s="130"/>
      <c r="BH47" s="130"/>
      <c r="BI47" s="130">
        <v>1</v>
      </c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  <c r="BV47" s="185"/>
      <c r="BW47" s="185">
        <v>1</v>
      </c>
      <c r="BX47" s="184"/>
      <c r="BY47" s="228"/>
      <c r="BZ47" s="224"/>
      <c r="CA47" s="185">
        <v>0</v>
      </c>
      <c r="CB47" s="130">
        <v>2</v>
      </c>
      <c r="CC47" s="130">
        <v>0</v>
      </c>
      <c r="CD47" s="130">
        <v>284</v>
      </c>
      <c r="CE47" s="130">
        <v>2</v>
      </c>
      <c r="CF47" s="133">
        <v>284</v>
      </c>
      <c r="CG47" s="134">
        <v>2</v>
      </c>
    </row>
    <row r="48" spans="1:85" x14ac:dyDescent="0.25">
      <c r="A48" s="14">
        <v>12</v>
      </c>
      <c r="B48" s="2" t="s">
        <v>16</v>
      </c>
      <c r="C48" s="15"/>
      <c r="D48" s="183">
        <v>-1</v>
      </c>
      <c r="E48" s="150">
        <v>150</v>
      </c>
      <c r="F48" s="150"/>
      <c r="G48" s="136"/>
      <c r="H48" s="136">
        <v>-2</v>
      </c>
      <c r="I48" s="136"/>
      <c r="J48" s="136"/>
      <c r="K48" s="136">
        <v>-1</v>
      </c>
      <c r="L48" s="136"/>
      <c r="M48" s="136"/>
      <c r="N48" s="136"/>
      <c r="O48" s="136">
        <v>-1</v>
      </c>
      <c r="P48" s="136"/>
      <c r="Q48" s="183"/>
      <c r="R48" s="183">
        <v>-6</v>
      </c>
      <c r="S48" s="183">
        <v>-1</v>
      </c>
      <c r="T48" s="183"/>
      <c r="U48" s="183">
        <v>-3</v>
      </c>
      <c r="V48" s="183">
        <v>-1</v>
      </c>
      <c r="W48" s="183">
        <v>-1</v>
      </c>
      <c r="X48" s="131">
        <v>147</v>
      </c>
      <c r="Y48" s="131"/>
      <c r="Z48" s="130">
        <v>6</v>
      </c>
      <c r="AA48" s="130">
        <v>16</v>
      </c>
      <c r="AB48" s="130">
        <v>2</v>
      </c>
      <c r="AC48" s="130">
        <v>1</v>
      </c>
      <c r="AD48" s="130">
        <v>10</v>
      </c>
      <c r="AE48" s="130">
        <v>9</v>
      </c>
      <c r="AF48" s="130">
        <v>6</v>
      </c>
      <c r="AG48" s="130">
        <v>1</v>
      </c>
      <c r="AH48" s="185">
        <v>6</v>
      </c>
      <c r="AI48" s="185">
        <v>56</v>
      </c>
      <c r="AJ48" s="185">
        <v>1</v>
      </c>
      <c r="AK48" s="185">
        <v>18</v>
      </c>
      <c r="AL48" s="185">
        <v>6</v>
      </c>
      <c r="AM48" s="185">
        <v>6</v>
      </c>
      <c r="AN48" s="184">
        <v>0</v>
      </c>
      <c r="AO48" s="185">
        <v>5</v>
      </c>
      <c r="AP48" s="185">
        <v>3</v>
      </c>
      <c r="AQ48" s="185">
        <v>3</v>
      </c>
      <c r="AR48" s="184">
        <v>6</v>
      </c>
      <c r="AS48" s="184">
        <v>2</v>
      </c>
      <c r="AT48" s="185">
        <v>5</v>
      </c>
      <c r="AU48" s="185">
        <v>5</v>
      </c>
      <c r="AV48" s="184">
        <v>0</v>
      </c>
      <c r="AW48" s="185">
        <v>3</v>
      </c>
      <c r="AX48" s="154">
        <v>4</v>
      </c>
      <c r="AY48" s="185">
        <v>311</v>
      </c>
      <c r="AZ48" s="131">
        <v>2</v>
      </c>
      <c r="BA48" s="131">
        <v>3</v>
      </c>
      <c r="BB48" s="130"/>
      <c r="BC48" s="130">
        <v>2</v>
      </c>
      <c r="BD48" s="130">
        <v>-3</v>
      </c>
      <c r="BE48" s="130"/>
      <c r="BF48" s="130"/>
      <c r="BG48" s="130"/>
      <c r="BH48" s="130"/>
      <c r="BI48" s="130"/>
      <c r="BJ48" s="185"/>
      <c r="BK48" s="185"/>
      <c r="BL48" s="185"/>
      <c r="BM48" s="185"/>
      <c r="BN48" s="185"/>
      <c r="BO48" s="185"/>
      <c r="BP48" s="185"/>
      <c r="BQ48" s="185"/>
      <c r="BR48" s="185">
        <v>1</v>
      </c>
      <c r="BS48" s="185"/>
      <c r="BT48" s="185"/>
      <c r="BU48" s="185"/>
      <c r="BV48" s="185"/>
      <c r="BW48" s="185"/>
      <c r="BX48" s="184"/>
      <c r="BY48" s="185"/>
      <c r="BZ48" s="154"/>
      <c r="CA48" s="185">
        <v>0</v>
      </c>
      <c r="CB48" s="130">
        <v>3</v>
      </c>
      <c r="CC48" s="130">
        <v>0</v>
      </c>
      <c r="CD48" s="130">
        <v>314</v>
      </c>
      <c r="CE48" s="130">
        <v>2</v>
      </c>
      <c r="CF48" s="133">
        <v>312</v>
      </c>
      <c r="CG48" s="134">
        <v>3</v>
      </c>
    </row>
    <row r="49" spans="1:85" x14ac:dyDescent="0.25">
      <c r="A49" s="14">
        <v>27</v>
      </c>
      <c r="B49" s="2" t="s">
        <v>30</v>
      </c>
      <c r="C49" s="22"/>
      <c r="D49" s="183"/>
      <c r="E49" s="150">
        <v>274</v>
      </c>
      <c r="F49" s="150"/>
      <c r="G49" s="136"/>
      <c r="H49" s="136"/>
      <c r="I49" s="136">
        <v>-1</v>
      </c>
      <c r="J49" s="136">
        <v>-2</v>
      </c>
      <c r="K49" s="136">
        <v>-1</v>
      </c>
      <c r="L49" s="136"/>
      <c r="M49" s="136">
        <v>-2</v>
      </c>
      <c r="N49" s="136"/>
      <c r="O49" s="136"/>
      <c r="P49" s="136"/>
      <c r="Q49" s="183"/>
      <c r="R49" s="183"/>
      <c r="S49" s="183">
        <v>-1</v>
      </c>
      <c r="T49" s="183">
        <v>-2</v>
      </c>
      <c r="U49" s="183">
        <v>-1</v>
      </c>
      <c r="V49" s="183"/>
      <c r="W49" s="183"/>
      <c r="X49" s="131">
        <v>338</v>
      </c>
      <c r="Y49" s="131">
        <v>21</v>
      </c>
      <c r="Z49" s="130">
        <v>9</v>
      </c>
      <c r="AA49" s="130">
        <v>5</v>
      </c>
      <c r="AB49" s="130">
        <v>24</v>
      </c>
      <c r="AC49" s="130">
        <v>25</v>
      </c>
      <c r="AD49" s="130">
        <v>15</v>
      </c>
      <c r="AE49" s="130">
        <v>13</v>
      </c>
      <c r="AF49" s="130">
        <v>9</v>
      </c>
      <c r="AG49" s="130">
        <v>8</v>
      </c>
      <c r="AH49" s="185">
        <v>2</v>
      </c>
      <c r="AI49" s="185">
        <v>12</v>
      </c>
      <c r="AJ49" s="185">
        <v>8</v>
      </c>
      <c r="AK49" s="185">
        <v>3</v>
      </c>
      <c r="AL49" s="185">
        <v>7</v>
      </c>
      <c r="AM49" s="185">
        <v>21</v>
      </c>
      <c r="AN49" s="184">
        <v>11</v>
      </c>
      <c r="AO49" s="185">
        <v>5</v>
      </c>
      <c r="AP49" s="185">
        <v>3</v>
      </c>
      <c r="AQ49" s="185">
        <v>3</v>
      </c>
      <c r="AR49" s="230">
        <v>2</v>
      </c>
      <c r="AS49" s="230">
        <v>8</v>
      </c>
      <c r="AT49" s="169">
        <v>6</v>
      </c>
      <c r="AU49" s="227">
        <v>5</v>
      </c>
      <c r="AV49" s="230">
        <v>1</v>
      </c>
      <c r="AW49" s="173">
        <v>2</v>
      </c>
      <c r="AX49" s="154">
        <v>10</v>
      </c>
      <c r="AY49" s="185">
        <v>566</v>
      </c>
      <c r="AZ49" s="131">
        <v>0</v>
      </c>
      <c r="BA49" s="131">
        <v>9</v>
      </c>
      <c r="BB49" s="130">
        <v>2</v>
      </c>
      <c r="BC49" s="130"/>
      <c r="BD49" s="130">
        <v>-2</v>
      </c>
      <c r="BE49" s="130"/>
      <c r="BF49" s="130"/>
      <c r="BG49" s="130"/>
      <c r="BH49" s="130">
        <v>4</v>
      </c>
      <c r="BI49" s="130"/>
      <c r="BJ49" s="185">
        <v>2</v>
      </c>
      <c r="BK49" s="185">
        <v>3</v>
      </c>
      <c r="BL49" s="185"/>
      <c r="BM49" s="185"/>
      <c r="BN49" s="185"/>
      <c r="BO49" s="185"/>
      <c r="BP49" s="185"/>
      <c r="BQ49" s="185"/>
      <c r="BR49" s="185"/>
      <c r="BS49" s="185"/>
      <c r="BT49" s="227"/>
      <c r="BU49" s="227"/>
      <c r="BV49" s="185"/>
      <c r="BW49" s="225"/>
      <c r="BX49" s="184"/>
      <c r="BY49" s="185"/>
      <c r="BZ49" s="154">
        <v>2</v>
      </c>
      <c r="CA49" s="185">
        <v>0</v>
      </c>
      <c r="CB49" s="130">
        <v>20</v>
      </c>
      <c r="CC49" s="130">
        <v>2</v>
      </c>
      <c r="CD49" s="130">
        <v>586</v>
      </c>
      <c r="CE49" s="130">
        <v>2</v>
      </c>
      <c r="CF49" s="133">
        <v>566</v>
      </c>
      <c r="CG49" s="134">
        <v>22</v>
      </c>
    </row>
    <row r="50" spans="1:85" x14ac:dyDescent="0.25">
      <c r="A50" s="14">
        <v>32</v>
      </c>
      <c r="B50" s="2" t="s">
        <v>35</v>
      </c>
      <c r="C50" s="15"/>
      <c r="D50" s="183"/>
      <c r="E50" s="150">
        <v>35</v>
      </c>
      <c r="F50" s="150"/>
      <c r="G50" s="136"/>
      <c r="H50" s="136"/>
      <c r="I50" s="136"/>
      <c r="J50" s="136"/>
      <c r="K50" s="136">
        <v>-1</v>
      </c>
      <c r="L50" s="136">
        <v>-1</v>
      </c>
      <c r="M50" s="136">
        <v>-5</v>
      </c>
      <c r="N50" s="136">
        <v>-4</v>
      </c>
      <c r="O50" s="136"/>
      <c r="P50" s="136"/>
      <c r="Q50" s="183"/>
      <c r="R50" s="183"/>
      <c r="S50" s="183"/>
      <c r="T50" s="183"/>
      <c r="U50" s="183"/>
      <c r="V50" s="183"/>
      <c r="W50" s="183"/>
      <c r="X50" s="131">
        <v>36</v>
      </c>
      <c r="Y50" s="131"/>
      <c r="Z50" s="130"/>
      <c r="AA50" s="130">
        <v>4</v>
      </c>
      <c r="AB50" s="130">
        <v>103</v>
      </c>
      <c r="AC50" s="130"/>
      <c r="AD50" s="130">
        <v>8</v>
      </c>
      <c r="AE50" s="130">
        <v>6</v>
      </c>
      <c r="AF50" s="130">
        <v>14</v>
      </c>
      <c r="AG50" s="130">
        <v>38</v>
      </c>
      <c r="AH50" s="185">
        <v>12</v>
      </c>
      <c r="AI50" s="185">
        <v>2</v>
      </c>
      <c r="AJ50" s="185">
        <v>1</v>
      </c>
      <c r="AK50" s="185">
        <v>5</v>
      </c>
      <c r="AL50" s="169">
        <v>-1</v>
      </c>
      <c r="AM50" s="185">
        <v>2</v>
      </c>
      <c r="AN50" s="173"/>
      <c r="AO50" s="185"/>
      <c r="AP50" s="185">
        <v>3</v>
      </c>
      <c r="AQ50" s="185">
        <v>1</v>
      </c>
      <c r="AR50" s="184">
        <v>1</v>
      </c>
      <c r="AS50" s="169">
        <v>3</v>
      </c>
      <c r="AT50" s="169">
        <v>0</v>
      </c>
      <c r="AU50" s="130">
        <v>1</v>
      </c>
      <c r="AV50" s="184">
        <v>0</v>
      </c>
      <c r="AW50" s="185">
        <v>1</v>
      </c>
      <c r="AX50" s="154">
        <v>0</v>
      </c>
      <c r="AY50" s="185">
        <v>229</v>
      </c>
      <c r="AZ50" s="131">
        <v>2</v>
      </c>
      <c r="BA50" s="131"/>
      <c r="BB50" s="130"/>
      <c r="BC50" s="130"/>
      <c r="BD50" s="130"/>
      <c r="BE50" s="130">
        <v>19</v>
      </c>
      <c r="BF50" s="130"/>
      <c r="BG50" s="130"/>
      <c r="BH50" s="130">
        <v>3</v>
      </c>
      <c r="BI50" s="130">
        <v>9</v>
      </c>
      <c r="BJ50" s="185">
        <v>13</v>
      </c>
      <c r="BK50" s="185">
        <v>1</v>
      </c>
      <c r="BL50" s="185">
        <v>2</v>
      </c>
      <c r="BM50" s="185"/>
      <c r="BN50" s="169"/>
      <c r="BO50" s="185">
        <v>1</v>
      </c>
      <c r="BP50" s="185"/>
      <c r="BQ50" s="185"/>
      <c r="BR50" s="185"/>
      <c r="BS50" s="185"/>
      <c r="BT50" s="185"/>
      <c r="BU50" s="185"/>
      <c r="BV50" s="185">
        <v>1</v>
      </c>
      <c r="BW50" s="185"/>
      <c r="BX50" s="184"/>
      <c r="BY50" s="185"/>
      <c r="BZ50" s="154"/>
      <c r="CA50" s="185">
        <v>0</v>
      </c>
      <c r="CB50" s="130">
        <v>49</v>
      </c>
      <c r="CC50" s="130">
        <v>0</v>
      </c>
      <c r="CD50" s="130">
        <v>278</v>
      </c>
      <c r="CE50" s="130">
        <v>2</v>
      </c>
      <c r="CF50" s="133">
        <v>231</v>
      </c>
      <c r="CG50" s="134">
        <v>49</v>
      </c>
    </row>
    <row r="51" spans="1:85" x14ac:dyDescent="0.25">
      <c r="A51" s="14">
        <v>33</v>
      </c>
      <c r="B51" s="2" t="s">
        <v>36</v>
      </c>
      <c r="C51" s="22"/>
      <c r="D51" s="183"/>
      <c r="E51" s="150">
        <v>88</v>
      </c>
      <c r="F51" s="150"/>
      <c r="G51" s="136"/>
      <c r="H51" s="136">
        <v>-1</v>
      </c>
      <c r="I51" s="136"/>
      <c r="J51" s="136"/>
      <c r="K51" s="136"/>
      <c r="L51" s="136"/>
      <c r="M51" s="136"/>
      <c r="N51" s="136">
        <v>-2</v>
      </c>
      <c r="O51" s="136">
        <v>-1</v>
      </c>
      <c r="P51" s="136"/>
      <c r="Q51" s="183"/>
      <c r="R51" s="183"/>
      <c r="S51" s="183"/>
      <c r="T51" s="183">
        <v>-2</v>
      </c>
      <c r="U51" s="183">
        <v>-3</v>
      </c>
      <c r="V51" s="183"/>
      <c r="W51" s="183"/>
      <c r="X51" s="131">
        <v>87</v>
      </c>
      <c r="Y51" s="131">
        <v>4</v>
      </c>
      <c r="Z51" s="130">
        <v>3</v>
      </c>
      <c r="AA51" s="130">
        <v>6</v>
      </c>
      <c r="AB51" s="130">
        <v>12</v>
      </c>
      <c r="AC51" s="130">
        <v>3</v>
      </c>
      <c r="AD51" s="130">
        <v>6</v>
      </c>
      <c r="AE51" s="130">
        <v>6</v>
      </c>
      <c r="AF51" s="130">
        <v>7</v>
      </c>
      <c r="AG51" s="130">
        <v>21</v>
      </c>
      <c r="AH51" s="185">
        <v>4</v>
      </c>
      <c r="AI51" s="185">
        <v>6</v>
      </c>
      <c r="AJ51" s="185">
        <v>3</v>
      </c>
      <c r="AK51" s="185">
        <v>20</v>
      </c>
      <c r="AL51" s="185">
        <v>21</v>
      </c>
      <c r="AM51" s="185">
        <v>38</v>
      </c>
      <c r="AN51" s="184">
        <v>45</v>
      </c>
      <c r="AO51" s="185">
        <v>45</v>
      </c>
      <c r="AP51" s="185">
        <v>10</v>
      </c>
      <c r="AQ51" s="185">
        <v>18</v>
      </c>
      <c r="AR51" s="184">
        <v>20</v>
      </c>
      <c r="AS51" s="184">
        <v>6</v>
      </c>
      <c r="AT51" s="185">
        <v>0</v>
      </c>
      <c r="AU51" s="185">
        <v>7</v>
      </c>
      <c r="AV51" s="184">
        <v>2</v>
      </c>
      <c r="AW51" s="185">
        <v>4</v>
      </c>
      <c r="AX51" s="154">
        <v>0</v>
      </c>
      <c r="AY51" s="185">
        <v>395</v>
      </c>
      <c r="AZ51" s="131">
        <v>2</v>
      </c>
      <c r="BA51" s="131">
        <v>7</v>
      </c>
      <c r="BB51" s="130"/>
      <c r="BC51" s="130"/>
      <c r="BD51" s="130">
        <v>8</v>
      </c>
      <c r="BE51" s="130"/>
      <c r="BF51" s="130"/>
      <c r="BG51" s="130"/>
      <c r="BH51" s="130"/>
      <c r="BI51" s="130"/>
      <c r="BJ51" s="185"/>
      <c r="BK51" s="185">
        <v>1</v>
      </c>
      <c r="BL51" s="185">
        <v>1</v>
      </c>
      <c r="BM51" s="185"/>
      <c r="BN51" s="185"/>
      <c r="BO51" s="185"/>
      <c r="BP51" s="185"/>
      <c r="BQ51" s="185"/>
      <c r="BR51" s="185"/>
      <c r="BS51" s="185"/>
      <c r="BT51" s="185"/>
      <c r="BU51" s="185"/>
      <c r="BV51" s="185"/>
      <c r="BW51" s="185"/>
      <c r="BX51" s="184"/>
      <c r="BY51" s="185"/>
      <c r="BZ51" s="154"/>
      <c r="CA51" s="185">
        <v>0</v>
      </c>
      <c r="CB51" s="130">
        <v>17</v>
      </c>
      <c r="CC51" s="130">
        <v>0</v>
      </c>
      <c r="CD51" s="130">
        <v>412</v>
      </c>
      <c r="CE51" s="130">
        <v>2</v>
      </c>
      <c r="CF51" s="133">
        <v>397</v>
      </c>
      <c r="CG51" s="134">
        <v>17</v>
      </c>
    </row>
    <row r="52" spans="1:85" x14ac:dyDescent="0.25">
      <c r="A52" s="14">
        <v>40</v>
      </c>
      <c r="B52" s="2" t="s">
        <v>43</v>
      </c>
      <c r="C52" s="22"/>
      <c r="D52" s="183"/>
      <c r="E52" s="150">
        <v>14</v>
      </c>
      <c r="F52" s="150"/>
      <c r="G52" s="136"/>
      <c r="H52" s="136"/>
      <c r="I52" s="136"/>
      <c r="J52" s="136"/>
      <c r="K52" s="136"/>
      <c r="L52" s="136"/>
      <c r="M52" s="136"/>
      <c r="N52" s="136">
        <v>-1</v>
      </c>
      <c r="O52" s="136"/>
      <c r="P52" s="136"/>
      <c r="Q52" s="183"/>
      <c r="R52" s="183"/>
      <c r="S52" s="183"/>
      <c r="T52" s="183"/>
      <c r="U52" s="183"/>
      <c r="V52" s="183"/>
      <c r="W52" s="183"/>
      <c r="X52" s="131">
        <v>15</v>
      </c>
      <c r="Y52" s="131"/>
      <c r="Z52" s="130"/>
      <c r="AA52" s="130"/>
      <c r="AB52" s="130">
        <v>3</v>
      </c>
      <c r="AC52" s="130"/>
      <c r="AD52" s="130">
        <v>3</v>
      </c>
      <c r="AE52" s="130">
        <v>3</v>
      </c>
      <c r="AF52" s="130">
        <v>1</v>
      </c>
      <c r="AG52" s="130">
        <v>1</v>
      </c>
      <c r="AH52" s="185">
        <v>1</v>
      </c>
      <c r="AI52" s="185">
        <v>1</v>
      </c>
      <c r="AJ52" s="185">
        <v>1</v>
      </c>
      <c r="AK52" s="185">
        <v>2</v>
      </c>
      <c r="AL52" s="185">
        <v>1</v>
      </c>
      <c r="AM52" s="185">
        <v>3</v>
      </c>
      <c r="AN52" s="184">
        <v>3</v>
      </c>
      <c r="AO52" s="185">
        <v>2</v>
      </c>
      <c r="AP52" s="185">
        <v>1</v>
      </c>
      <c r="AQ52" s="185">
        <v>1</v>
      </c>
      <c r="AR52" s="173">
        <v>10</v>
      </c>
      <c r="AS52" s="185">
        <v>1</v>
      </c>
      <c r="AT52" s="169">
        <v>1</v>
      </c>
      <c r="AU52" s="169">
        <v>2</v>
      </c>
      <c r="AV52" s="173">
        <v>8</v>
      </c>
      <c r="AW52" s="169">
        <v>5</v>
      </c>
      <c r="AX52" s="154">
        <v>1</v>
      </c>
      <c r="AY52" s="185">
        <v>69</v>
      </c>
      <c r="AZ52" s="131">
        <v>2</v>
      </c>
      <c r="BA52" s="131"/>
      <c r="BB52" s="130"/>
      <c r="BC52" s="130"/>
      <c r="BD52" s="130"/>
      <c r="BE52" s="130"/>
      <c r="BF52" s="130"/>
      <c r="BG52" s="130"/>
      <c r="BH52" s="130"/>
      <c r="BI52" s="130"/>
      <c r="BJ52" s="185"/>
      <c r="BK52" s="185"/>
      <c r="BL52" s="185">
        <v>1</v>
      </c>
      <c r="BM52" s="185"/>
      <c r="BN52" s="185"/>
      <c r="BO52" s="185"/>
      <c r="BP52" s="185"/>
      <c r="BQ52" s="185"/>
      <c r="BR52" s="185"/>
      <c r="BS52" s="185"/>
      <c r="BT52" s="185"/>
      <c r="BU52" s="185"/>
      <c r="BV52" s="185"/>
      <c r="BW52" s="185"/>
      <c r="BX52" s="184"/>
      <c r="BY52" s="185"/>
      <c r="BZ52" s="154"/>
      <c r="CA52" s="185">
        <v>0</v>
      </c>
      <c r="CB52" s="130">
        <v>1</v>
      </c>
      <c r="CC52" s="130">
        <v>0</v>
      </c>
      <c r="CD52" s="130">
        <v>70</v>
      </c>
      <c r="CE52" s="130">
        <v>2</v>
      </c>
      <c r="CF52" s="133">
        <v>71</v>
      </c>
      <c r="CG52" s="134">
        <v>1</v>
      </c>
    </row>
    <row r="53" spans="1:85" x14ac:dyDescent="0.25">
      <c r="A53" s="14">
        <v>41</v>
      </c>
      <c r="B53" s="2" t="s">
        <v>44</v>
      </c>
      <c r="C53" s="15"/>
      <c r="D53" s="183"/>
      <c r="E53" s="150">
        <v>67</v>
      </c>
      <c r="F53" s="150"/>
      <c r="G53" s="136"/>
      <c r="H53" s="136"/>
      <c r="I53" s="136"/>
      <c r="J53" s="136"/>
      <c r="K53" s="136"/>
      <c r="L53" s="136"/>
      <c r="M53" s="136"/>
      <c r="N53" s="136">
        <v>-2</v>
      </c>
      <c r="O53" s="136">
        <v>-1</v>
      </c>
      <c r="P53" s="136"/>
      <c r="Q53" s="183">
        <v>-4</v>
      </c>
      <c r="R53" s="183"/>
      <c r="S53" s="183"/>
      <c r="T53" s="183">
        <v>-1</v>
      </c>
      <c r="U53" s="183"/>
      <c r="V53" s="183"/>
      <c r="W53" s="183"/>
      <c r="X53" s="131">
        <v>65</v>
      </c>
      <c r="Y53" s="131">
        <v>17</v>
      </c>
      <c r="Z53" s="130">
        <v>20</v>
      </c>
      <c r="AA53" s="130">
        <v>7</v>
      </c>
      <c r="AB53" s="130">
        <v>6</v>
      </c>
      <c r="AC53" s="130">
        <v>6</v>
      </c>
      <c r="AD53" s="130">
        <v>6</v>
      </c>
      <c r="AE53" s="130">
        <v>2</v>
      </c>
      <c r="AF53" s="130">
        <v>2</v>
      </c>
      <c r="AG53" s="130">
        <v>3</v>
      </c>
      <c r="AH53" s="185">
        <v>13</v>
      </c>
      <c r="AI53" s="169">
        <v>8</v>
      </c>
      <c r="AJ53" s="185">
        <v>8</v>
      </c>
      <c r="AK53" s="185"/>
      <c r="AL53" s="185">
        <v>8</v>
      </c>
      <c r="AM53" s="185">
        <v>1</v>
      </c>
      <c r="AN53" s="173">
        <v>6</v>
      </c>
      <c r="AO53" s="185">
        <v>1</v>
      </c>
      <c r="AP53" s="185">
        <v>2</v>
      </c>
      <c r="AQ53" s="185">
        <v>3</v>
      </c>
      <c r="AR53" s="173">
        <v>2</v>
      </c>
      <c r="AS53" s="185">
        <v>2</v>
      </c>
      <c r="AT53" s="169">
        <v>1</v>
      </c>
      <c r="AU53" s="130">
        <v>2</v>
      </c>
      <c r="AV53" s="173">
        <v>0</v>
      </c>
      <c r="AW53" s="173">
        <v>2</v>
      </c>
      <c r="AX53" s="154">
        <v>9</v>
      </c>
      <c r="AY53" s="185">
        <v>194</v>
      </c>
      <c r="AZ53" s="131">
        <v>2</v>
      </c>
      <c r="BA53" s="131">
        <v>5</v>
      </c>
      <c r="BB53" s="130"/>
      <c r="BC53" s="130"/>
      <c r="BD53" s="130">
        <v>-1</v>
      </c>
      <c r="BE53" s="130"/>
      <c r="BF53" s="130"/>
      <c r="BG53" s="130">
        <v>1</v>
      </c>
      <c r="BH53" s="130">
        <v>1</v>
      </c>
      <c r="BI53" s="130"/>
      <c r="BJ53" s="185"/>
      <c r="BK53" s="169">
        <v>1</v>
      </c>
      <c r="BL53" s="185"/>
      <c r="BM53" s="185">
        <v>1</v>
      </c>
      <c r="BN53" s="185"/>
      <c r="BO53" s="185">
        <v>1</v>
      </c>
      <c r="BP53" s="185"/>
      <c r="BQ53" s="185"/>
      <c r="BR53" s="185"/>
      <c r="BS53" s="185"/>
      <c r="BT53" s="185"/>
      <c r="BU53" s="185"/>
      <c r="BV53" s="228"/>
      <c r="BW53" s="185">
        <v>-1</v>
      </c>
      <c r="BX53" s="184"/>
      <c r="BY53" s="185"/>
      <c r="BZ53" s="154"/>
      <c r="CA53" s="185">
        <v>0</v>
      </c>
      <c r="CB53" s="130">
        <v>8</v>
      </c>
      <c r="CC53" s="130">
        <v>0</v>
      </c>
      <c r="CD53" s="130">
        <v>202</v>
      </c>
      <c r="CE53" s="130">
        <v>2</v>
      </c>
      <c r="CF53" s="133">
        <v>196</v>
      </c>
      <c r="CG53" s="134">
        <v>8</v>
      </c>
    </row>
    <row r="54" spans="1:85" x14ac:dyDescent="0.25">
      <c r="A54" s="14">
        <v>54</v>
      </c>
      <c r="B54" s="2" t="s">
        <v>57</v>
      </c>
      <c r="C54" s="22"/>
      <c r="D54" s="183"/>
      <c r="E54" s="150">
        <v>135</v>
      </c>
      <c r="F54" s="150"/>
      <c r="G54" s="136"/>
      <c r="H54" s="136"/>
      <c r="I54" s="136"/>
      <c r="J54" s="136"/>
      <c r="K54" s="136"/>
      <c r="L54" s="136"/>
      <c r="M54" s="136"/>
      <c r="N54" s="136">
        <v>-1</v>
      </c>
      <c r="O54" s="136"/>
      <c r="P54" s="136"/>
      <c r="Q54" s="183"/>
      <c r="R54" s="183"/>
      <c r="S54" s="183"/>
      <c r="T54" s="183"/>
      <c r="U54" s="183"/>
      <c r="V54" s="183"/>
      <c r="W54" s="183"/>
      <c r="X54" s="131">
        <v>124</v>
      </c>
      <c r="Y54" s="131">
        <v>3</v>
      </c>
      <c r="Z54" s="130">
        <v>1</v>
      </c>
      <c r="AA54" s="130">
        <v>7</v>
      </c>
      <c r="AB54" s="130">
        <v>5</v>
      </c>
      <c r="AC54" s="130"/>
      <c r="AD54" s="130">
        <v>2</v>
      </c>
      <c r="AE54" s="130">
        <v>4</v>
      </c>
      <c r="AF54" s="130">
        <v>1</v>
      </c>
      <c r="AG54" s="130">
        <v>1</v>
      </c>
      <c r="AH54" s="185">
        <v>5</v>
      </c>
      <c r="AI54" s="185">
        <v>1</v>
      </c>
      <c r="AJ54" s="185">
        <v>7</v>
      </c>
      <c r="AK54" s="185"/>
      <c r="AL54" s="185">
        <v>1</v>
      </c>
      <c r="AM54" s="185"/>
      <c r="AN54" s="184"/>
      <c r="AO54" s="185"/>
      <c r="AP54" s="169">
        <v>1</v>
      </c>
      <c r="AQ54" s="169"/>
      <c r="AR54" s="173"/>
      <c r="AS54" s="184">
        <v>1</v>
      </c>
      <c r="AT54" s="169">
        <v>1</v>
      </c>
      <c r="AU54" s="169">
        <v>0</v>
      </c>
      <c r="AV54" s="184"/>
      <c r="AW54" s="185">
        <v>1</v>
      </c>
      <c r="AX54" s="154">
        <v>0</v>
      </c>
      <c r="AY54" s="185">
        <v>165</v>
      </c>
      <c r="AZ54" s="131">
        <v>2</v>
      </c>
      <c r="BA54" s="131">
        <v>12</v>
      </c>
      <c r="BB54" s="130">
        <v>3</v>
      </c>
      <c r="BC54" s="130"/>
      <c r="BD54" s="130">
        <v>-3</v>
      </c>
      <c r="BE54" s="130"/>
      <c r="BF54" s="130"/>
      <c r="BG54" s="130"/>
      <c r="BH54" s="130"/>
      <c r="BI54" s="130"/>
      <c r="BJ54" s="185"/>
      <c r="BK54" s="185"/>
      <c r="BL54" s="185"/>
      <c r="BM54" s="185"/>
      <c r="BN54" s="185"/>
      <c r="BO54" s="185"/>
      <c r="BP54" s="185">
        <v>3</v>
      </c>
      <c r="BQ54" s="185"/>
      <c r="BR54" s="185"/>
      <c r="BS54" s="169"/>
      <c r="BT54" s="185"/>
      <c r="BU54" s="185"/>
      <c r="BV54" s="185"/>
      <c r="BW54" s="185"/>
      <c r="BX54" s="184">
        <v>-1</v>
      </c>
      <c r="BY54" s="184"/>
      <c r="BZ54" s="154"/>
      <c r="CA54" s="185"/>
      <c r="CB54" s="130">
        <v>14</v>
      </c>
      <c r="CC54" s="130">
        <v>0</v>
      </c>
      <c r="CD54" s="130">
        <v>179</v>
      </c>
      <c r="CE54" s="130">
        <v>2</v>
      </c>
      <c r="CF54" s="133">
        <v>167</v>
      </c>
      <c r="CG54" s="134">
        <v>14</v>
      </c>
    </row>
    <row r="55" spans="1:85" x14ac:dyDescent="0.25">
      <c r="A55" s="14">
        <v>58</v>
      </c>
      <c r="B55" s="2" t="s">
        <v>61</v>
      </c>
      <c r="C55" s="22"/>
      <c r="D55" s="183"/>
      <c r="E55" s="16">
        <v>41</v>
      </c>
      <c r="F55" s="16"/>
      <c r="G55" s="17"/>
      <c r="H55" s="17"/>
      <c r="I55" s="17"/>
      <c r="J55" s="17"/>
      <c r="K55" s="136"/>
      <c r="L55" s="136">
        <v>-1</v>
      </c>
      <c r="M55" s="136">
        <v>-1</v>
      </c>
      <c r="N55" s="136"/>
      <c r="O55" s="136">
        <v>-2</v>
      </c>
      <c r="P55" s="136"/>
      <c r="Q55" s="183"/>
      <c r="R55" s="183"/>
      <c r="S55" s="183"/>
      <c r="T55" s="183"/>
      <c r="U55" s="183"/>
      <c r="V55" s="183"/>
      <c r="W55" s="183"/>
      <c r="X55" s="18">
        <v>42</v>
      </c>
      <c r="Y55" s="18">
        <v>1</v>
      </c>
      <c r="Z55" s="19">
        <v>1</v>
      </c>
      <c r="AA55" s="19">
        <v>1</v>
      </c>
      <c r="AB55" s="19">
        <v>16</v>
      </c>
      <c r="AC55" s="19">
        <v>7</v>
      </c>
      <c r="AD55" s="130"/>
      <c r="AE55" s="130">
        <v>3</v>
      </c>
      <c r="AF55" s="130"/>
      <c r="AG55" s="130">
        <v>3</v>
      </c>
      <c r="AH55" s="185">
        <v>1</v>
      </c>
      <c r="AI55" s="185">
        <v>1</v>
      </c>
      <c r="AJ55" s="185">
        <v>4</v>
      </c>
      <c r="AK55" s="185">
        <v>2</v>
      </c>
      <c r="AL55" s="185">
        <v>2</v>
      </c>
      <c r="AM55" s="185">
        <v>1</v>
      </c>
      <c r="AN55" s="185">
        <v>1</v>
      </c>
      <c r="AO55" s="185"/>
      <c r="AP55" s="185">
        <v>1</v>
      </c>
      <c r="AQ55" s="185">
        <v>3</v>
      </c>
      <c r="AR55" s="185">
        <v>4</v>
      </c>
      <c r="AS55" s="185">
        <v>13</v>
      </c>
      <c r="AT55" s="185">
        <v>2</v>
      </c>
      <c r="AU55" s="185">
        <v>15</v>
      </c>
      <c r="AV55" s="169">
        <v>1</v>
      </c>
      <c r="AW55" s="185">
        <v>1</v>
      </c>
      <c r="AX55" s="132">
        <v>1</v>
      </c>
      <c r="AY55" s="185">
        <v>123</v>
      </c>
      <c r="AZ55" s="131">
        <v>2</v>
      </c>
      <c r="BA55" s="131">
        <v>1</v>
      </c>
      <c r="BB55" s="130"/>
      <c r="BC55" s="130"/>
      <c r="BD55" s="130"/>
      <c r="BE55" s="130">
        <v>10</v>
      </c>
      <c r="BF55" s="130"/>
      <c r="BG55" s="130"/>
      <c r="BH55" s="130"/>
      <c r="BI55" s="130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85"/>
      <c r="BV55" s="185">
        <v>-10</v>
      </c>
      <c r="BW55" s="185"/>
      <c r="BX55" s="185"/>
      <c r="BY55" s="185"/>
      <c r="BZ55" s="132"/>
      <c r="CA55" s="185"/>
      <c r="CB55" s="130">
        <v>1</v>
      </c>
      <c r="CC55" s="130">
        <v>0</v>
      </c>
      <c r="CD55" s="130">
        <v>124</v>
      </c>
      <c r="CE55" s="130">
        <v>2</v>
      </c>
      <c r="CF55" s="133">
        <v>125</v>
      </c>
      <c r="CG55" s="134">
        <v>1</v>
      </c>
    </row>
    <row r="56" spans="1:85" x14ac:dyDescent="0.25">
      <c r="A56" s="14">
        <v>61</v>
      </c>
      <c r="B56" s="2" t="s">
        <v>64</v>
      </c>
      <c r="C56" s="22"/>
      <c r="D56" s="183"/>
      <c r="E56" s="16">
        <v>236</v>
      </c>
      <c r="F56" s="16">
        <v>-4</v>
      </c>
      <c r="G56" s="17"/>
      <c r="H56" s="17">
        <v>-26</v>
      </c>
      <c r="I56" s="17"/>
      <c r="J56" s="17"/>
      <c r="K56" s="136"/>
      <c r="L56" s="136">
        <v>-3</v>
      </c>
      <c r="M56" s="136">
        <v>-1</v>
      </c>
      <c r="N56" s="136"/>
      <c r="O56" s="136"/>
      <c r="P56" s="136">
        <v>-1</v>
      </c>
      <c r="Q56" s="183">
        <v>-1</v>
      </c>
      <c r="R56" s="183">
        <v>-1</v>
      </c>
      <c r="S56" s="183"/>
      <c r="T56" s="183"/>
      <c r="U56" s="183">
        <v>-1</v>
      </c>
      <c r="V56" s="183"/>
      <c r="W56" s="183">
        <v>-3</v>
      </c>
      <c r="X56" s="18">
        <v>220</v>
      </c>
      <c r="Y56" s="18">
        <v>10</v>
      </c>
      <c r="Z56" s="19">
        <v>1</v>
      </c>
      <c r="AA56" s="19">
        <v>34</v>
      </c>
      <c r="AB56" s="19">
        <v>5</v>
      </c>
      <c r="AC56" s="19">
        <v>3</v>
      </c>
      <c r="AD56" s="130">
        <v>5</v>
      </c>
      <c r="AE56" s="130">
        <v>4</v>
      </c>
      <c r="AF56" s="130">
        <v>5</v>
      </c>
      <c r="AG56" s="130">
        <v>2</v>
      </c>
      <c r="AH56" s="185">
        <v>4</v>
      </c>
      <c r="AI56" s="185">
        <v>2</v>
      </c>
      <c r="AJ56" s="185">
        <v>7</v>
      </c>
      <c r="AK56" s="185"/>
      <c r="AL56" s="185">
        <v>1</v>
      </c>
      <c r="AM56" s="185">
        <v>1</v>
      </c>
      <c r="AN56" s="185"/>
      <c r="AO56" s="185">
        <v>1</v>
      </c>
      <c r="AP56" s="185">
        <v>2</v>
      </c>
      <c r="AQ56" s="185">
        <v>12</v>
      </c>
      <c r="AR56" s="185">
        <v>3</v>
      </c>
      <c r="AS56" s="185">
        <v>2</v>
      </c>
      <c r="AT56" s="185">
        <v>0</v>
      </c>
      <c r="AU56" s="185">
        <v>1</v>
      </c>
      <c r="AV56" s="169">
        <v>2</v>
      </c>
      <c r="AW56" s="169">
        <v>1</v>
      </c>
      <c r="AX56" s="132">
        <v>1</v>
      </c>
      <c r="AY56" s="185">
        <v>288</v>
      </c>
      <c r="AZ56" s="131">
        <v>2</v>
      </c>
      <c r="BA56" s="131">
        <v>21</v>
      </c>
      <c r="BB56" s="130"/>
      <c r="BC56" s="130"/>
      <c r="BD56" s="130">
        <v>-4</v>
      </c>
      <c r="BE56" s="130"/>
      <c r="BF56" s="130"/>
      <c r="BG56" s="130">
        <v>1</v>
      </c>
      <c r="BH56" s="130"/>
      <c r="BI56" s="130"/>
      <c r="BJ56" s="185"/>
      <c r="BK56" s="185"/>
      <c r="BL56" s="185"/>
      <c r="BM56" s="185"/>
      <c r="BN56" s="185"/>
      <c r="BO56" s="185"/>
      <c r="BP56" s="185"/>
      <c r="BQ56" s="185"/>
      <c r="BR56" s="185"/>
      <c r="BS56" s="185"/>
      <c r="BT56" s="185">
        <v>1</v>
      </c>
      <c r="BU56" s="185"/>
      <c r="BV56" s="185"/>
      <c r="BW56" s="185"/>
      <c r="BX56" s="185"/>
      <c r="BY56" s="185"/>
      <c r="BZ56" s="132">
        <v>2</v>
      </c>
      <c r="CA56" s="185"/>
      <c r="CB56" s="130">
        <v>21</v>
      </c>
      <c r="CC56" s="130">
        <v>0</v>
      </c>
      <c r="CD56" s="130">
        <v>309</v>
      </c>
      <c r="CE56" s="130">
        <v>2</v>
      </c>
      <c r="CF56" s="133">
        <v>290</v>
      </c>
      <c r="CG56" s="134">
        <v>21</v>
      </c>
    </row>
    <row r="57" spans="1:85" x14ac:dyDescent="0.25">
      <c r="A57" s="14">
        <v>70</v>
      </c>
      <c r="B57" s="2" t="s">
        <v>73</v>
      </c>
      <c r="C57" s="22"/>
      <c r="D57" s="183"/>
      <c r="E57" s="16">
        <v>70</v>
      </c>
      <c r="F57" s="16"/>
      <c r="G57" s="17"/>
      <c r="H57" s="17"/>
      <c r="I57" s="17"/>
      <c r="J57" s="17">
        <v>-1</v>
      </c>
      <c r="K57" s="136">
        <v>-1</v>
      </c>
      <c r="L57" s="136"/>
      <c r="M57" s="136"/>
      <c r="N57" s="136"/>
      <c r="O57" s="136"/>
      <c r="P57" s="136"/>
      <c r="Q57" s="183"/>
      <c r="R57" s="183"/>
      <c r="S57" s="183"/>
      <c r="T57" s="183"/>
      <c r="U57" s="183"/>
      <c r="V57" s="183"/>
      <c r="W57" s="183"/>
      <c r="X57" s="18">
        <v>70</v>
      </c>
      <c r="Y57" s="18"/>
      <c r="Z57" s="19"/>
      <c r="AA57" s="19"/>
      <c r="AB57" s="19">
        <v>4</v>
      </c>
      <c r="AC57" s="19">
        <v>7</v>
      </c>
      <c r="AD57" s="130">
        <v>9</v>
      </c>
      <c r="AE57" s="130">
        <v>3</v>
      </c>
      <c r="AF57" s="130"/>
      <c r="AG57" s="130"/>
      <c r="AH57" s="185"/>
      <c r="AI57" s="185">
        <v>1</v>
      </c>
      <c r="AJ57" s="185">
        <v>2</v>
      </c>
      <c r="AK57" s="185">
        <v>2</v>
      </c>
      <c r="AL57" s="185">
        <v>3</v>
      </c>
      <c r="AM57" s="185"/>
      <c r="AN57" s="185">
        <v>1</v>
      </c>
      <c r="AO57" s="185"/>
      <c r="AP57" s="185">
        <v>5</v>
      </c>
      <c r="AQ57" s="185">
        <v>11</v>
      </c>
      <c r="AR57" s="185">
        <v>2</v>
      </c>
      <c r="AS57" s="185">
        <v>2</v>
      </c>
      <c r="AT57" s="185">
        <v>2</v>
      </c>
      <c r="AU57" s="185">
        <v>1</v>
      </c>
      <c r="AV57" s="185">
        <v>1</v>
      </c>
      <c r="AW57" s="185">
        <v>3</v>
      </c>
      <c r="AX57" s="132">
        <v>0</v>
      </c>
      <c r="AY57" s="185">
        <v>127</v>
      </c>
      <c r="AZ57" s="131">
        <v>2</v>
      </c>
      <c r="BA57" s="131"/>
      <c r="BB57" s="130"/>
      <c r="BC57" s="130"/>
      <c r="BD57" s="130"/>
      <c r="BE57" s="130"/>
      <c r="BF57" s="130"/>
      <c r="BG57" s="130"/>
      <c r="BH57" s="130"/>
      <c r="BI57" s="130"/>
      <c r="BJ57" s="185"/>
      <c r="BK57" s="185"/>
      <c r="BL57" s="185"/>
      <c r="BM57" s="185"/>
      <c r="BN57" s="185"/>
      <c r="BO57" s="185"/>
      <c r="BP57" s="185"/>
      <c r="BQ57" s="185"/>
      <c r="BR57" s="185">
        <v>1</v>
      </c>
      <c r="BS57" s="185"/>
      <c r="BT57" s="185"/>
      <c r="BU57" s="185"/>
      <c r="BV57" s="185">
        <v>0</v>
      </c>
      <c r="BW57" s="185">
        <v>1</v>
      </c>
      <c r="BX57" s="185"/>
      <c r="BY57" s="185"/>
      <c r="BZ57" s="132">
        <v>1</v>
      </c>
      <c r="CA57" s="185"/>
      <c r="CB57" s="130">
        <v>3</v>
      </c>
      <c r="CC57" s="130">
        <v>0</v>
      </c>
      <c r="CD57" s="130">
        <v>130</v>
      </c>
      <c r="CE57" s="130">
        <v>2</v>
      </c>
      <c r="CF57" s="133">
        <v>129</v>
      </c>
      <c r="CG57" s="134">
        <v>3</v>
      </c>
    </row>
    <row r="58" spans="1:85" x14ac:dyDescent="0.25">
      <c r="A58" s="14">
        <v>76</v>
      </c>
      <c r="B58" s="2" t="s">
        <v>79</v>
      </c>
      <c r="C58" s="15"/>
      <c r="D58" s="183"/>
      <c r="E58" s="16">
        <v>72</v>
      </c>
      <c r="F58" s="16"/>
      <c r="G58" s="17"/>
      <c r="H58" s="17"/>
      <c r="I58" s="17"/>
      <c r="J58" s="17"/>
      <c r="K58" s="136"/>
      <c r="L58" s="136"/>
      <c r="M58" s="136"/>
      <c r="N58" s="136">
        <v>-2</v>
      </c>
      <c r="O58" s="136">
        <v>-2</v>
      </c>
      <c r="P58" s="136"/>
      <c r="Q58" s="183"/>
      <c r="R58" s="183"/>
      <c r="S58" s="183"/>
      <c r="T58" s="183">
        <v>-2</v>
      </c>
      <c r="U58" s="183"/>
      <c r="V58" s="183"/>
      <c r="W58" s="183"/>
      <c r="X58" s="18">
        <v>73</v>
      </c>
      <c r="Y58" s="18">
        <v>2</v>
      </c>
      <c r="Z58" s="19">
        <v>2</v>
      </c>
      <c r="AA58" s="19">
        <v>1</v>
      </c>
      <c r="AB58" s="19">
        <v>3</v>
      </c>
      <c r="AC58" s="19">
        <v>1</v>
      </c>
      <c r="AD58" s="130">
        <v>6</v>
      </c>
      <c r="AE58" s="130">
        <v>5</v>
      </c>
      <c r="AF58" s="130">
        <v>9</v>
      </c>
      <c r="AG58" s="130">
        <v>5</v>
      </c>
      <c r="AH58" s="185">
        <v>9</v>
      </c>
      <c r="AI58" s="185">
        <v>3</v>
      </c>
      <c r="AJ58" s="185">
        <v>7</v>
      </c>
      <c r="AK58" s="185">
        <v>3</v>
      </c>
      <c r="AL58" s="185">
        <v>1</v>
      </c>
      <c r="AM58" s="185">
        <v>28</v>
      </c>
      <c r="AN58" s="185">
        <v>6</v>
      </c>
      <c r="AO58" s="185"/>
      <c r="AP58" s="185">
        <v>2</v>
      </c>
      <c r="AQ58" s="185">
        <v>5</v>
      </c>
      <c r="AR58" s="169">
        <v>1</v>
      </c>
      <c r="AS58" s="185">
        <v>1</v>
      </c>
      <c r="AT58" s="185">
        <v>1</v>
      </c>
      <c r="AU58" s="228">
        <v>8</v>
      </c>
      <c r="AV58" s="169">
        <v>2</v>
      </c>
      <c r="AW58" s="185">
        <v>26</v>
      </c>
      <c r="AX58" s="132">
        <v>1</v>
      </c>
      <c r="AY58" s="185">
        <v>205</v>
      </c>
      <c r="AZ58" s="131">
        <v>1</v>
      </c>
      <c r="BA58" s="131"/>
      <c r="BB58" s="130"/>
      <c r="BC58" s="130">
        <v>2</v>
      </c>
      <c r="BD58" s="130"/>
      <c r="BE58" s="130"/>
      <c r="BF58" s="130">
        <v>1</v>
      </c>
      <c r="BG58" s="130"/>
      <c r="BH58" s="130"/>
      <c r="BI58" s="130"/>
      <c r="BJ58" s="185"/>
      <c r="BK58" s="185">
        <v>3</v>
      </c>
      <c r="BL58" s="185">
        <v>2</v>
      </c>
      <c r="BM58" s="185"/>
      <c r="BN58" s="185">
        <v>1</v>
      </c>
      <c r="BO58" s="185">
        <v>1</v>
      </c>
      <c r="BP58" s="185">
        <v>2</v>
      </c>
      <c r="BQ58" s="185"/>
      <c r="BR58" s="185"/>
      <c r="BS58" s="185"/>
      <c r="BT58" s="185"/>
      <c r="BU58" s="185"/>
      <c r="BV58" s="185"/>
      <c r="BW58" s="228"/>
      <c r="BX58" s="185"/>
      <c r="BY58" s="185"/>
      <c r="BZ58" s="132">
        <v>1</v>
      </c>
      <c r="CA58" s="185"/>
      <c r="CB58" s="130">
        <v>13</v>
      </c>
      <c r="CC58" s="130">
        <v>1</v>
      </c>
      <c r="CD58" s="130">
        <v>218</v>
      </c>
      <c r="CE58" s="130">
        <v>2</v>
      </c>
      <c r="CF58" s="133">
        <v>206</v>
      </c>
      <c r="CG58" s="134">
        <v>14</v>
      </c>
    </row>
    <row r="59" spans="1:85" x14ac:dyDescent="0.25">
      <c r="A59" s="14">
        <v>78</v>
      </c>
      <c r="B59" s="2" t="s">
        <v>81</v>
      </c>
      <c r="C59" s="15"/>
      <c r="D59" s="183"/>
      <c r="E59" s="16">
        <v>119</v>
      </c>
      <c r="F59" s="16"/>
      <c r="G59" s="17">
        <v>-1</v>
      </c>
      <c r="H59" s="17">
        <v>-1</v>
      </c>
      <c r="I59" s="17">
        <v>-1</v>
      </c>
      <c r="J59" s="17">
        <v>-2</v>
      </c>
      <c r="K59" s="136">
        <v>-1</v>
      </c>
      <c r="L59" s="136">
        <v>-1</v>
      </c>
      <c r="M59" s="136">
        <v>-3</v>
      </c>
      <c r="N59" s="136"/>
      <c r="O59" s="136"/>
      <c r="P59" s="136">
        <v>-1</v>
      </c>
      <c r="Q59" s="183">
        <v>-1</v>
      </c>
      <c r="R59" s="183">
        <v>-1</v>
      </c>
      <c r="S59" s="183">
        <v>-2</v>
      </c>
      <c r="T59" s="183"/>
      <c r="U59" s="183"/>
      <c r="V59" s="183">
        <v>-1</v>
      </c>
      <c r="W59" s="183"/>
      <c r="X59" s="18">
        <v>122</v>
      </c>
      <c r="Y59" s="18">
        <v>7</v>
      </c>
      <c r="Z59" s="19">
        <v>9</v>
      </c>
      <c r="AA59" s="19">
        <v>19</v>
      </c>
      <c r="AB59" s="19">
        <v>21</v>
      </c>
      <c r="AC59" s="19">
        <v>40</v>
      </c>
      <c r="AD59" s="130">
        <v>24</v>
      </c>
      <c r="AE59" s="130">
        <v>28</v>
      </c>
      <c r="AF59" s="130">
        <v>36</v>
      </c>
      <c r="AG59" s="130">
        <v>11</v>
      </c>
      <c r="AH59" s="185">
        <v>12</v>
      </c>
      <c r="AI59" s="185">
        <v>31</v>
      </c>
      <c r="AJ59" s="185">
        <v>16</v>
      </c>
      <c r="AK59" s="185">
        <v>15</v>
      </c>
      <c r="AL59" s="185">
        <v>15</v>
      </c>
      <c r="AM59" s="185">
        <v>6</v>
      </c>
      <c r="AN59" s="185">
        <v>1</v>
      </c>
      <c r="AO59" s="185">
        <v>10</v>
      </c>
      <c r="AP59" s="185">
        <v>1</v>
      </c>
      <c r="AQ59" s="185">
        <v>2</v>
      </c>
      <c r="AR59" s="185">
        <v>1</v>
      </c>
      <c r="AS59" s="185">
        <v>4</v>
      </c>
      <c r="AT59" s="185">
        <v>1</v>
      </c>
      <c r="AU59" s="185">
        <v>7</v>
      </c>
      <c r="AV59" s="185">
        <v>10</v>
      </c>
      <c r="AW59" s="185">
        <v>5</v>
      </c>
      <c r="AX59" s="132">
        <v>1</v>
      </c>
      <c r="AY59" s="185">
        <v>439</v>
      </c>
      <c r="AZ59" s="131">
        <v>2</v>
      </c>
      <c r="BA59" s="131">
        <v>7</v>
      </c>
      <c r="BB59" s="130"/>
      <c r="BC59" s="130">
        <v>1</v>
      </c>
      <c r="BD59" s="130">
        <v>3</v>
      </c>
      <c r="BE59" s="130">
        <v>1</v>
      </c>
      <c r="BF59" s="130"/>
      <c r="BG59" s="130">
        <v>1</v>
      </c>
      <c r="BH59" s="130"/>
      <c r="BI59" s="130"/>
      <c r="BJ59" s="185">
        <v>1</v>
      </c>
      <c r="BK59" s="185">
        <v>2</v>
      </c>
      <c r="BL59" s="185">
        <v>3</v>
      </c>
      <c r="BM59" s="185">
        <v>3</v>
      </c>
      <c r="BN59" s="185">
        <v>1</v>
      </c>
      <c r="BO59" s="185"/>
      <c r="BP59" s="185"/>
      <c r="BQ59" s="185"/>
      <c r="BR59" s="185"/>
      <c r="BS59" s="185"/>
      <c r="BT59" s="185"/>
      <c r="BU59" s="185"/>
      <c r="BV59" s="185">
        <v>1</v>
      </c>
      <c r="BW59" s="185">
        <v>1</v>
      </c>
      <c r="BX59" s="185"/>
      <c r="BY59" s="185"/>
      <c r="BZ59" s="132">
        <v>22</v>
      </c>
      <c r="CA59" s="185"/>
      <c r="CB59" s="130">
        <v>47</v>
      </c>
      <c r="CC59" s="130">
        <v>0</v>
      </c>
      <c r="CD59" s="130">
        <v>486</v>
      </c>
      <c r="CE59" s="130">
        <v>2</v>
      </c>
      <c r="CF59" s="133">
        <v>441</v>
      </c>
      <c r="CG59" s="134">
        <v>47</v>
      </c>
    </row>
    <row r="60" spans="1:85" x14ac:dyDescent="0.25">
      <c r="A60" s="14">
        <v>88</v>
      </c>
      <c r="B60" s="2" t="s">
        <v>91</v>
      </c>
      <c r="C60" s="22"/>
      <c r="D60" s="183"/>
      <c r="E60" s="16">
        <v>81</v>
      </c>
      <c r="F60" s="16"/>
      <c r="G60" s="17"/>
      <c r="H60" s="17"/>
      <c r="I60" s="17"/>
      <c r="J60" s="17">
        <v>-4</v>
      </c>
      <c r="K60" s="136"/>
      <c r="L60" s="136"/>
      <c r="M60" s="136"/>
      <c r="N60" s="136"/>
      <c r="O60" s="136"/>
      <c r="P60" s="136"/>
      <c r="Q60" s="183"/>
      <c r="R60" s="183">
        <v>-1</v>
      </c>
      <c r="S60" s="183"/>
      <c r="T60" s="183"/>
      <c r="U60" s="183"/>
      <c r="V60" s="183"/>
      <c r="W60" s="183"/>
      <c r="X60" s="18">
        <v>79</v>
      </c>
      <c r="Y60" s="18">
        <v>2</v>
      </c>
      <c r="Z60" s="19">
        <v>1</v>
      </c>
      <c r="AA60" s="19">
        <v>6</v>
      </c>
      <c r="AB60" s="19">
        <v>16</v>
      </c>
      <c r="AC60" s="19">
        <v>42</v>
      </c>
      <c r="AD60" s="130">
        <v>1</v>
      </c>
      <c r="AE60" s="130">
        <v>3</v>
      </c>
      <c r="AF60" s="130">
        <v>1</v>
      </c>
      <c r="AG60" s="130">
        <v>3</v>
      </c>
      <c r="AH60" s="185">
        <v>2</v>
      </c>
      <c r="AI60" s="185"/>
      <c r="AJ60" s="185">
        <v>3</v>
      </c>
      <c r="AK60" s="185">
        <v>5</v>
      </c>
      <c r="AL60" s="185">
        <v>5</v>
      </c>
      <c r="AM60" s="185"/>
      <c r="AN60" s="185"/>
      <c r="AO60" s="185"/>
      <c r="AP60" s="185"/>
      <c r="AQ60" s="185"/>
      <c r="AR60" s="185"/>
      <c r="AS60" s="169"/>
      <c r="AT60" s="185">
        <v>1</v>
      </c>
      <c r="AU60" s="185">
        <v>2</v>
      </c>
      <c r="AV60" s="185">
        <v>1</v>
      </c>
      <c r="AW60" s="185">
        <v>1</v>
      </c>
      <c r="AX60" s="132">
        <v>0</v>
      </c>
      <c r="AY60" s="185">
        <v>169</v>
      </c>
      <c r="AZ60" s="131">
        <v>2</v>
      </c>
      <c r="BA60" s="131">
        <v>6</v>
      </c>
      <c r="BB60" s="130"/>
      <c r="BC60" s="130"/>
      <c r="BD60" s="130">
        <v>-3</v>
      </c>
      <c r="BE60" s="130"/>
      <c r="BF60" s="130"/>
      <c r="BG60" s="130"/>
      <c r="BH60" s="130"/>
      <c r="BI60" s="130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  <c r="BV60" s="185"/>
      <c r="BW60" s="185"/>
      <c r="BX60" s="185"/>
      <c r="BY60" s="185"/>
      <c r="BZ60" s="132"/>
      <c r="CA60" s="185"/>
      <c r="CB60" s="130">
        <v>3</v>
      </c>
      <c r="CC60" s="130">
        <v>0</v>
      </c>
      <c r="CD60" s="130">
        <v>172</v>
      </c>
      <c r="CE60" s="130">
        <v>2</v>
      </c>
      <c r="CF60" s="133">
        <v>171</v>
      </c>
      <c r="CG60" s="134">
        <v>3</v>
      </c>
    </row>
    <row r="61" spans="1:85" x14ac:dyDescent="0.25">
      <c r="A61" s="14">
        <v>92</v>
      </c>
      <c r="B61" s="2" t="s">
        <v>95</v>
      </c>
      <c r="C61" s="22"/>
      <c r="D61" s="183"/>
      <c r="E61" s="16">
        <v>25</v>
      </c>
      <c r="F61" s="16"/>
      <c r="G61" s="17"/>
      <c r="H61" s="17">
        <v>-2</v>
      </c>
      <c r="I61" s="17"/>
      <c r="J61" s="17">
        <v>-2</v>
      </c>
      <c r="K61" s="136"/>
      <c r="L61" s="136">
        <v>-1</v>
      </c>
      <c r="M61" s="136">
        <v>-1</v>
      </c>
      <c r="N61" s="136"/>
      <c r="O61" s="136"/>
      <c r="P61" s="136"/>
      <c r="Q61" s="183"/>
      <c r="R61" s="183"/>
      <c r="S61" s="183"/>
      <c r="T61" s="183"/>
      <c r="U61" s="183"/>
      <c r="V61" s="183"/>
      <c r="W61" s="183"/>
      <c r="X61" s="18">
        <v>25</v>
      </c>
      <c r="Y61" s="18"/>
      <c r="Z61" s="19">
        <v>9</v>
      </c>
      <c r="AA61" s="19">
        <v>3</v>
      </c>
      <c r="AB61" s="19">
        <v>5</v>
      </c>
      <c r="AC61" s="19">
        <v>4</v>
      </c>
      <c r="AD61" s="130">
        <v>5</v>
      </c>
      <c r="AE61" s="130">
        <v>8</v>
      </c>
      <c r="AF61" s="130">
        <v>9</v>
      </c>
      <c r="AG61" s="169">
        <v>4</v>
      </c>
      <c r="AH61" s="185">
        <v>11</v>
      </c>
      <c r="AI61" s="185">
        <v>17</v>
      </c>
      <c r="AJ61" s="185">
        <v>9</v>
      </c>
      <c r="AK61" s="185">
        <v>3</v>
      </c>
      <c r="AL61" s="185">
        <v>7</v>
      </c>
      <c r="AM61" s="185">
        <v>1</v>
      </c>
      <c r="AN61" s="185">
        <v>3</v>
      </c>
      <c r="AO61" s="185">
        <v>1</v>
      </c>
      <c r="AP61" s="185">
        <v>1</v>
      </c>
      <c r="AQ61" s="185">
        <v>3</v>
      </c>
      <c r="AR61" s="169">
        <v>-1</v>
      </c>
      <c r="AS61" s="185">
        <v>2</v>
      </c>
      <c r="AT61" s="169">
        <v>1</v>
      </c>
      <c r="AU61" s="169">
        <v>1</v>
      </c>
      <c r="AV61" s="169">
        <v>1</v>
      </c>
      <c r="AW61" s="185"/>
      <c r="AX61" s="132">
        <v>1</v>
      </c>
      <c r="AY61" s="185">
        <v>127</v>
      </c>
      <c r="AZ61" s="131">
        <v>2</v>
      </c>
      <c r="BA61" s="131">
        <v>3</v>
      </c>
      <c r="BB61" s="130"/>
      <c r="BC61" s="130"/>
      <c r="BD61" s="130"/>
      <c r="BE61" s="130">
        <v>0</v>
      </c>
      <c r="BF61" s="130">
        <v>1</v>
      </c>
      <c r="BG61" s="130">
        <v>-1</v>
      </c>
      <c r="BH61" s="130">
        <v>1</v>
      </c>
      <c r="BI61" s="169"/>
      <c r="BJ61" s="185"/>
      <c r="BK61" s="185">
        <v>3</v>
      </c>
      <c r="BL61" s="185">
        <v>1</v>
      </c>
      <c r="BM61" s="185">
        <v>1</v>
      </c>
      <c r="BN61" s="185">
        <v>2</v>
      </c>
      <c r="BO61" s="185"/>
      <c r="BP61" s="185"/>
      <c r="BQ61" s="185"/>
      <c r="BR61" s="185">
        <v>1</v>
      </c>
      <c r="BS61" s="185"/>
      <c r="BT61" s="185"/>
      <c r="BU61" s="185">
        <v>1</v>
      </c>
      <c r="BV61" s="185"/>
      <c r="BW61" s="185">
        <v>1</v>
      </c>
      <c r="BX61" s="185"/>
      <c r="BY61" s="185"/>
      <c r="BZ61" s="132"/>
      <c r="CA61" s="185"/>
      <c r="CB61" s="130">
        <v>14</v>
      </c>
      <c r="CC61" s="130">
        <v>0</v>
      </c>
      <c r="CD61" s="130">
        <v>141</v>
      </c>
      <c r="CE61" s="130">
        <v>2</v>
      </c>
      <c r="CF61" s="133">
        <v>129</v>
      </c>
      <c r="CG61" s="134">
        <v>14</v>
      </c>
    </row>
    <row r="62" spans="1:85" x14ac:dyDescent="0.25">
      <c r="A62" s="14">
        <v>2</v>
      </c>
      <c r="B62" s="2" t="s">
        <v>6</v>
      </c>
      <c r="C62" s="15"/>
      <c r="D62" s="183"/>
      <c r="E62" s="16">
        <v>107</v>
      </c>
      <c r="F62" s="16"/>
      <c r="G62" s="17"/>
      <c r="H62" s="17"/>
      <c r="I62" s="17">
        <v>-3</v>
      </c>
      <c r="J62" s="17">
        <v>-1</v>
      </c>
      <c r="K62" s="136">
        <v>-2</v>
      </c>
      <c r="L62" s="136"/>
      <c r="M62" s="136">
        <v>-1</v>
      </c>
      <c r="N62" s="136">
        <v>-1</v>
      </c>
      <c r="O62" s="136"/>
      <c r="P62" s="136"/>
      <c r="Q62" s="183"/>
      <c r="R62" s="183"/>
      <c r="S62" s="183"/>
      <c r="T62" s="183"/>
      <c r="U62" s="183"/>
      <c r="V62" s="183"/>
      <c r="W62" s="183">
        <v>-1</v>
      </c>
      <c r="X62" s="18">
        <v>93</v>
      </c>
      <c r="Y62" s="18"/>
      <c r="Z62" s="19">
        <v>8</v>
      </c>
      <c r="AA62" s="19">
        <v>27</v>
      </c>
      <c r="AB62" s="19">
        <v>31</v>
      </c>
      <c r="AC62" s="19">
        <v>26</v>
      </c>
      <c r="AD62" s="130">
        <v>6</v>
      </c>
      <c r="AE62" s="130">
        <v>3</v>
      </c>
      <c r="AF62" s="130">
        <v>11</v>
      </c>
      <c r="AG62" s="130">
        <v>21</v>
      </c>
      <c r="AH62" s="185">
        <v>2</v>
      </c>
      <c r="AI62" s="185">
        <v>1</v>
      </c>
      <c r="AJ62" s="185">
        <v>5</v>
      </c>
      <c r="AK62" s="169">
        <v>6</v>
      </c>
      <c r="AL62" s="185">
        <v>3</v>
      </c>
      <c r="AM62" s="185">
        <v>6</v>
      </c>
      <c r="AN62" s="169">
        <v>4</v>
      </c>
      <c r="AO62" s="185"/>
      <c r="AP62" s="185">
        <v>1</v>
      </c>
      <c r="AQ62" s="185">
        <v>4</v>
      </c>
      <c r="AR62" s="169">
        <v>26</v>
      </c>
      <c r="AS62" s="169">
        <v>7</v>
      </c>
      <c r="AT62" s="185">
        <v>3</v>
      </c>
      <c r="AU62" s="169">
        <v>29</v>
      </c>
      <c r="AV62" s="169">
        <v>25</v>
      </c>
      <c r="AW62" s="169">
        <v>9</v>
      </c>
      <c r="AX62" s="132">
        <v>7</v>
      </c>
      <c r="AY62" s="185">
        <v>355</v>
      </c>
      <c r="AZ62" s="131">
        <v>1</v>
      </c>
      <c r="BA62" s="131">
        <v>17</v>
      </c>
      <c r="BB62" s="130"/>
      <c r="BC62" s="130"/>
      <c r="BD62" s="130">
        <v>2</v>
      </c>
      <c r="BE62" s="130">
        <v>6</v>
      </c>
      <c r="BF62" s="130">
        <v>2</v>
      </c>
      <c r="BG62" s="130"/>
      <c r="BH62" s="130"/>
      <c r="BI62" s="130">
        <v>3</v>
      </c>
      <c r="BJ62" s="185">
        <v>5</v>
      </c>
      <c r="BK62" s="185"/>
      <c r="BL62" s="185"/>
      <c r="BM62" s="169"/>
      <c r="BN62" s="185"/>
      <c r="BO62" s="185">
        <v>2</v>
      </c>
      <c r="BP62" s="185">
        <v>4</v>
      </c>
      <c r="BQ62" s="185"/>
      <c r="BR62" s="185"/>
      <c r="BS62" s="185"/>
      <c r="BT62" s="185"/>
      <c r="BU62" s="185"/>
      <c r="BV62" s="185"/>
      <c r="BW62" s="185"/>
      <c r="BX62" s="185">
        <v>1</v>
      </c>
      <c r="BY62" s="185">
        <v>0</v>
      </c>
      <c r="BZ62" s="132">
        <v>2</v>
      </c>
      <c r="CA62" s="185">
        <v>-2</v>
      </c>
      <c r="CB62" s="130">
        <v>42</v>
      </c>
      <c r="CC62" s="130">
        <v>0</v>
      </c>
      <c r="CD62" s="130">
        <v>397</v>
      </c>
      <c r="CE62" s="130">
        <v>1</v>
      </c>
      <c r="CF62" s="133">
        <v>356</v>
      </c>
      <c r="CG62" s="134">
        <v>42</v>
      </c>
    </row>
    <row r="63" spans="1:85" x14ac:dyDescent="0.25">
      <c r="A63" s="14">
        <v>3</v>
      </c>
      <c r="B63" s="2" t="s">
        <v>7</v>
      </c>
      <c r="C63" s="15"/>
      <c r="D63" s="183"/>
      <c r="E63" s="16">
        <v>59</v>
      </c>
      <c r="F63" s="16"/>
      <c r="G63" s="17"/>
      <c r="H63" s="17"/>
      <c r="I63" s="17">
        <v>-1</v>
      </c>
      <c r="J63" s="17">
        <v>-1</v>
      </c>
      <c r="K63" s="136"/>
      <c r="L63" s="136"/>
      <c r="M63" s="136"/>
      <c r="N63" s="136"/>
      <c r="O63" s="136"/>
      <c r="P63" s="136"/>
      <c r="Q63" s="183"/>
      <c r="R63" s="183"/>
      <c r="S63" s="183"/>
      <c r="T63" s="183"/>
      <c r="U63" s="183"/>
      <c r="V63" s="183"/>
      <c r="W63" s="183"/>
      <c r="X63" s="18">
        <v>58</v>
      </c>
      <c r="Y63" s="18">
        <v>1</v>
      </c>
      <c r="Z63" s="19">
        <v>8</v>
      </c>
      <c r="AA63" s="19"/>
      <c r="AB63" s="19">
        <v>10</v>
      </c>
      <c r="AC63" s="19">
        <v>11</v>
      </c>
      <c r="AD63" s="130">
        <v>4</v>
      </c>
      <c r="AE63" s="130">
        <v>3</v>
      </c>
      <c r="AF63" s="130"/>
      <c r="AG63" s="130">
        <v>5</v>
      </c>
      <c r="AH63" s="185">
        <v>5</v>
      </c>
      <c r="AI63" s="185">
        <v>6</v>
      </c>
      <c r="AJ63" s="185">
        <v>9</v>
      </c>
      <c r="AK63" s="185">
        <v>1</v>
      </c>
      <c r="AL63" s="185">
        <v>3</v>
      </c>
      <c r="AM63" s="185">
        <v>1</v>
      </c>
      <c r="AN63" s="169">
        <v>2</v>
      </c>
      <c r="AO63" s="185">
        <v>9</v>
      </c>
      <c r="AP63" s="185">
        <v>1</v>
      </c>
      <c r="AQ63" s="185">
        <v>2</v>
      </c>
      <c r="AR63" s="185">
        <v>3</v>
      </c>
      <c r="AS63" s="169">
        <v>0</v>
      </c>
      <c r="AT63" s="169">
        <v>0</v>
      </c>
      <c r="AU63" s="169">
        <v>1</v>
      </c>
      <c r="AV63" s="169">
        <v>0</v>
      </c>
      <c r="AW63" s="228">
        <v>0</v>
      </c>
      <c r="AX63" s="132">
        <v>6</v>
      </c>
      <c r="AY63" s="185">
        <v>147</v>
      </c>
      <c r="AZ63" s="131">
        <v>1</v>
      </c>
      <c r="BA63" s="131">
        <v>2</v>
      </c>
      <c r="BB63" s="130"/>
      <c r="BC63" s="130"/>
      <c r="BD63" s="130"/>
      <c r="BE63" s="130"/>
      <c r="BF63" s="130"/>
      <c r="BG63" s="130"/>
      <c r="BH63" s="130"/>
      <c r="BI63" s="130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228"/>
      <c r="BZ63" s="132"/>
      <c r="CA63" s="185">
        <v>0</v>
      </c>
      <c r="CB63" s="130">
        <v>2</v>
      </c>
      <c r="CC63" s="130">
        <v>0</v>
      </c>
      <c r="CD63" s="130">
        <v>149</v>
      </c>
      <c r="CE63" s="130">
        <v>1</v>
      </c>
      <c r="CF63" s="133">
        <v>148</v>
      </c>
      <c r="CG63" s="134">
        <v>2</v>
      </c>
    </row>
    <row r="64" spans="1:85" x14ac:dyDescent="0.25">
      <c r="A64" s="14">
        <v>8</v>
      </c>
      <c r="B64" s="2" t="s">
        <v>12</v>
      </c>
      <c r="C64" s="22"/>
      <c r="D64" s="183"/>
      <c r="E64" s="16">
        <v>131</v>
      </c>
      <c r="F64" s="16"/>
      <c r="G64" s="17"/>
      <c r="H64" s="17">
        <v>-2</v>
      </c>
      <c r="I64" s="17"/>
      <c r="J64" s="17"/>
      <c r="K64" s="136"/>
      <c r="L64" s="136"/>
      <c r="M64" s="136"/>
      <c r="N64" s="136"/>
      <c r="O64" s="136"/>
      <c r="P64" s="136"/>
      <c r="Q64" s="183"/>
      <c r="R64" s="183"/>
      <c r="S64" s="183"/>
      <c r="T64" s="183"/>
      <c r="U64" s="183">
        <v>-2</v>
      </c>
      <c r="V64" s="183"/>
      <c r="W64" s="183"/>
      <c r="X64" s="18">
        <v>113</v>
      </c>
      <c r="Y64" s="18"/>
      <c r="Z64" s="19"/>
      <c r="AA64" s="19">
        <v>28</v>
      </c>
      <c r="AB64" s="19">
        <v>5</v>
      </c>
      <c r="AC64" s="19">
        <v>2</v>
      </c>
      <c r="AD64" s="130"/>
      <c r="AE64" s="130">
        <v>1</v>
      </c>
      <c r="AF64" s="130"/>
      <c r="AG64" s="130">
        <v>5</v>
      </c>
      <c r="AH64" s="185">
        <v>1</v>
      </c>
      <c r="AI64" s="185">
        <v>2</v>
      </c>
      <c r="AJ64" s="185">
        <v>11</v>
      </c>
      <c r="AK64" s="185"/>
      <c r="AL64" s="185"/>
      <c r="AM64" s="185"/>
      <c r="AN64" s="169">
        <v>21</v>
      </c>
      <c r="AO64" s="185">
        <v>4</v>
      </c>
      <c r="AP64" s="185">
        <v>2</v>
      </c>
      <c r="AQ64" s="185">
        <v>1</v>
      </c>
      <c r="AR64" s="169">
        <v>0</v>
      </c>
      <c r="AS64" s="185">
        <v>2</v>
      </c>
      <c r="AT64" s="185">
        <v>0</v>
      </c>
      <c r="AU64" s="185">
        <v>4</v>
      </c>
      <c r="AV64" s="169">
        <v>1</v>
      </c>
      <c r="AW64" s="185">
        <v>0</v>
      </c>
      <c r="AX64" s="132">
        <v>1</v>
      </c>
      <c r="AY64" s="185">
        <v>200</v>
      </c>
      <c r="AZ64" s="131">
        <v>1</v>
      </c>
      <c r="BA64" s="131">
        <v>23</v>
      </c>
      <c r="BB64" s="130">
        <v>1</v>
      </c>
      <c r="BC64" s="130"/>
      <c r="BD64" s="130">
        <v>-11</v>
      </c>
      <c r="BE64" s="130"/>
      <c r="BF64" s="130">
        <v>2</v>
      </c>
      <c r="BG64" s="130"/>
      <c r="BH64" s="130"/>
      <c r="BI64" s="130"/>
      <c r="BJ64" s="185"/>
      <c r="BK64" s="185"/>
      <c r="BL64" s="185"/>
      <c r="BM64" s="185"/>
      <c r="BN64" s="185"/>
      <c r="BO64" s="185"/>
      <c r="BP64" s="185"/>
      <c r="BQ64" s="185"/>
      <c r="BR64" s="185">
        <v>1</v>
      </c>
      <c r="BS64" s="185"/>
      <c r="BT64" s="185"/>
      <c r="BU64" s="185"/>
      <c r="BV64" s="185"/>
      <c r="BW64" s="185"/>
      <c r="BX64" s="185"/>
      <c r="BY64" s="185"/>
      <c r="BZ64" s="132"/>
      <c r="CA64" s="185">
        <v>0</v>
      </c>
      <c r="CB64" s="130">
        <v>16</v>
      </c>
      <c r="CC64" s="130">
        <v>0</v>
      </c>
      <c r="CD64" s="130">
        <v>216</v>
      </c>
      <c r="CE64" s="130">
        <v>1</v>
      </c>
      <c r="CF64" s="133">
        <v>201</v>
      </c>
      <c r="CG64" s="134">
        <v>16</v>
      </c>
    </row>
    <row r="65" spans="1:85" x14ac:dyDescent="0.25">
      <c r="A65" s="14">
        <v>15</v>
      </c>
      <c r="B65" s="2" t="s">
        <v>19</v>
      </c>
      <c r="C65" s="22"/>
      <c r="D65" s="183"/>
      <c r="E65" s="16">
        <v>145</v>
      </c>
      <c r="F65" s="16">
        <v>-2</v>
      </c>
      <c r="G65" s="17">
        <v>-3</v>
      </c>
      <c r="H65" s="17"/>
      <c r="I65" s="17">
        <v>-1</v>
      </c>
      <c r="J65" s="17">
        <v>-1</v>
      </c>
      <c r="K65" s="136"/>
      <c r="L65" s="136"/>
      <c r="M65" s="136">
        <v>-1</v>
      </c>
      <c r="N65" s="136"/>
      <c r="O65" s="136">
        <v>-1</v>
      </c>
      <c r="P65" s="136"/>
      <c r="Q65" s="183"/>
      <c r="R65" s="183"/>
      <c r="S65" s="183">
        <v>-2</v>
      </c>
      <c r="T65" s="183">
        <v>-1</v>
      </c>
      <c r="U65" s="183"/>
      <c r="V65" s="183">
        <v>-1</v>
      </c>
      <c r="W65" s="183"/>
      <c r="X65" s="18">
        <v>145</v>
      </c>
      <c r="Y65" s="18">
        <v>8</v>
      </c>
      <c r="Z65" s="19">
        <v>25</v>
      </c>
      <c r="AA65" s="19">
        <v>1</v>
      </c>
      <c r="AB65" s="19">
        <v>4</v>
      </c>
      <c r="AC65" s="19">
        <v>20</v>
      </c>
      <c r="AD65" s="130"/>
      <c r="AE65" s="130"/>
      <c r="AF65" s="130">
        <v>7</v>
      </c>
      <c r="AG65" s="130"/>
      <c r="AH65" s="185">
        <v>9</v>
      </c>
      <c r="AI65" s="169">
        <v>2</v>
      </c>
      <c r="AJ65" s="185">
        <v>1</v>
      </c>
      <c r="AK65" s="185">
        <v>3</v>
      </c>
      <c r="AL65" s="185">
        <v>4</v>
      </c>
      <c r="AM65" s="185">
        <v>20</v>
      </c>
      <c r="AN65" s="169">
        <v>9</v>
      </c>
      <c r="AO65" s="185"/>
      <c r="AP65" s="185">
        <v>5</v>
      </c>
      <c r="AQ65" s="185">
        <v>1</v>
      </c>
      <c r="AR65" s="169">
        <v>0</v>
      </c>
      <c r="AS65" s="169">
        <v>3</v>
      </c>
      <c r="AT65" s="169">
        <v>1</v>
      </c>
      <c r="AU65" s="225">
        <v>1</v>
      </c>
      <c r="AV65" s="185">
        <v>0</v>
      </c>
      <c r="AW65" s="169">
        <v>1</v>
      </c>
      <c r="AX65" s="132">
        <v>0</v>
      </c>
      <c r="AY65" s="185">
        <v>257</v>
      </c>
      <c r="AZ65" s="131">
        <v>1</v>
      </c>
      <c r="BA65" s="131"/>
      <c r="BB65" s="130"/>
      <c r="BC65" s="130"/>
      <c r="BD65" s="130"/>
      <c r="BE65" s="130"/>
      <c r="BF65" s="130"/>
      <c r="BG65" s="130"/>
      <c r="BH65" s="130"/>
      <c r="BI65" s="130"/>
      <c r="BJ65" s="185"/>
      <c r="BK65" s="169"/>
      <c r="BL65" s="185"/>
      <c r="BM65" s="185"/>
      <c r="BN65" s="185"/>
      <c r="BO65" s="185"/>
      <c r="BP65" s="185"/>
      <c r="BQ65" s="185">
        <v>1</v>
      </c>
      <c r="BR65" s="185"/>
      <c r="BS65" s="185"/>
      <c r="BT65" s="185"/>
      <c r="BU65" s="185"/>
      <c r="BV65" s="185"/>
      <c r="BW65" s="225"/>
      <c r="BX65" s="185"/>
      <c r="BY65" s="185"/>
      <c r="BZ65" s="132"/>
      <c r="CA65" s="185">
        <v>0</v>
      </c>
      <c r="CB65" s="130">
        <v>1</v>
      </c>
      <c r="CC65" s="130">
        <v>0</v>
      </c>
      <c r="CD65" s="130">
        <v>258</v>
      </c>
      <c r="CE65" s="130">
        <v>1</v>
      </c>
      <c r="CF65" s="133">
        <v>258</v>
      </c>
      <c r="CG65" s="134">
        <v>1</v>
      </c>
    </row>
    <row r="66" spans="1:85" x14ac:dyDescent="0.25">
      <c r="A66" s="14">
        <v>16</v>
      </c>
      <c r="B66" s="2" t="s">
        <v>20</v>
      </c>
      <c r="C66" s="15"/>
      <c r="D66" s="183">
        <v>-3</v>
      </c>
      <c r="E66" s="16">
        <v>52</v>
      </c>
      <c r="F66" s="16"/>
      <c r="G66" s="17"/>
      <c r="H66" s="17"/>
      <c r="I66" s="17"/>
      <c r="J66" s="17"/>
      <c r="K66" s="136"/>
      <c r="L66" s="136"/>
      <c r="M66" s="136">
        <v>-1</v>
      </c>
      <c r="N66" s="136">
        <v>-3</v>
      </c>
      <c r="O66" s="136"/>
      <c r="P66" s="136"/>
      <c r="Q66" s="183">
        <v>-1</v>
      </c>
      <c r="R66" s="183">
        <v>-2</v>
      </c>
      <c r="S66" s="183">
        <v>-2</v>
      </c>
      <c r="T66" s="183"/>
      <c r="U66" s="183"/>
      <c r="V66" s="183"/>
      <c r="W66" s="183">
        <v>-1</v>
      </c>
      <c r="X66" s="18">
        <v>55</v>
      </c>
      <c r="Y66" s="18">
        <v>6</v>
      </c>
      <c r="Z66" s="19">
        <v>5</v>
      </c>
      <c r="AA66" s="19">
        <v>10</v>
      </c>
      <c r="AB66" s="19">
        <v>23</v>
      </c>
      <c r="AC66" s="19">
        <v>7</v>
      </c>
      <c r="AD66" s="130">
        <v>16</v>
      </c>
      <c r="AE66" s="130">
        <v>10</v>
      </c>
      <c r="AF66" s="130">
        <v>15</v>
      </c>
      <c r="AG66" s="130">
        <v>20</v>
      </c>
      <c r="AH66" s="185">
        <v>18</v>
      </c>
      <c r="AI66" s="185">
        <v>7</v>
      </c>
      <c r="AJ66" s="185">
        <v>21</v>
      </c>
      <c r="AK66" s="185">
        <v>13</v>
      </c>
      <c r="AL66" s="185">
        <v>27</v>
      </c>
      <c r="AM66" s="185">
        <v>12</v>
      </c>
      <c r="AN66" s="185">
        <v>5</v>
      </c>
      <c r="AO66" s="185">
        <v>16</v>
      </c>
      <c r="AP66" s="185">
        <v>4</v>
      </c>
      <c r="AQ66" s="185">
        <v>5</v>
      </c>
      <c r="AR66" s="169">
        <v>0</v>
      </c>
      <c r="AS66" s="185">
        <v>0</v>
      </c>
      <c r="AT66" s="185">
        <v>0</v>
      </c>
      <c r="AU66" s="169">
        <v>2</v>
      </c>
      <c r="AV66" s="185">
        <v>1</v>
      </c>
      <c r="AW66" s="185">
        <v>1</v>
      </c>
      <c r="AX66" s="132">
        <v>1</v>
      </c>
      <c r="AY66" s="185">
        <v>290</v>
      </c>
      <c r="AZ66" s="131">
        <v>0</v>
      </c>
      <c r="BA66" s="131">
        <v>1</v>
      </c>
      <c r="BB66" s="130"/>
      <c r="BC66" s="130"/>
      <c r="BD66" s="130"/>
      <c r="BE66" s="130"/>
      <c r="BF66" s="130">
        <v>2</v>
      </c>
      <c r="BG66" s="130"/>
      <c r="BH66" s="130">
        <v>2</v>
      </c>
      <c r="BI66" s="130"/>
      <c r="BJ66" s="185"/>
      <c r="BK66" s="185">
        <v>3</v>
      </c>
      <c r="BL66" s="185"/>
      <c r="BM66" s="185">
        <v>3</v>
      </c>
      <c r="BN66" s="185"/>
      <c r="BO66" s="185"/>
      <c r="BP66" s="185"/>
      <c r="BQ66" s="185"/>
      <c r="BR66" s="185"/>
      <c r="BS66" s="185">
        <v>1</v>
      </c>
      <c r="BT66" s="185"/>
      <c r="BU66" s="185"/>
      <c r="BV66" s="185"/>
      <c r="BW66" s="185"/>
      <c r="BX66" s="185">
        <v>-1</v>
      </c>
      <c r="BY66" s="185"/>
      <c r="BZ66" s="132"/>
      <c r="CA66" s="185">
        <v>0</v>
      </c>
      <c r="CB66" s="130">
        <v>11</v>
      </c>
      <c r="CC66" s="130">
        <v>1</v>
      </c>
      <c r="CD66" s="130">
        <v>301</v>
      </c>
      <c r="CE66" s="130">
        <v>1</v>
      </c>
      <c r="CF66" s="133">
        <v>287</v>
      </c>
      <c r="CG66" s="167">
        <v>12</v>
      </c>
    </row>
    <row r="67" spans="1:85" x14ac:dyDescent="0.25">
      <c r="A67" s="14">
        <v>18</v>
      </c>
      <c r="B67" s="2" t="s">
        <v>22</v>
      </c>
      <c r="C67" s="15"/>
      <c r="D67" s="183">
        <v>-5</v>
      </c>
      <c r="E67" s="16">
        <v>62</v>
      </c>
      <c r="F67" s="16"/>
      <c r="G67" s="17"/>
      <c r="H67" s="17"/>
      <c r="I67" s="17"/>
      <c r="J67" s="17"/>
      <c r="K67" s="136"/>
      <c r="L67" s="136">
        <v>-1</v>
      </c>
      <c r="M67" s="136"/>
      <c r="N67" s="136">
        <v>-1</v>
      </c>
      <c r="O67" s="136"/>
      <c r="P67" s="136"/>
      <c r="Q67" s="183"/>
      <c r="R67" s="183"/>
      <c r="S67" s="183"/>
      <c r="T67" s="183"/>
      <c r="U67" s="183"/>
      <c r="V67" s="183"/>
      <c r="W67" s="183"/>
      <c r="X67" s="18">
        <v>60</v>
      </c>
      <c r="Y67" s="18">
        <v>4</v>
      </c>
      <c r="Z67" s="19"/>
      <c r="AA67" s="19">
        <v>1</v>
      </c>
      <c r="AB67" s="19">
        <v>9</v>
      </c>
      <c r="AC67" s="19">
        <v>3</v>
      </c>
      <c r="AD67" s="130">
        <v>3</v>
      </c>
      <c r="AE67" s="130">
        <v>12</v>
      </c>
      <c r="AF67" s="130">
        <v>2</v>
      </c>
      <c r="AG67" s="130">
        <v>1</v>
      </c>
      <c r="AH67" s="185">
        <v>3</v>
      </c>
      <c r="AI67" s="169">
        <v>4</v>
      </c>
      <c r="AJ67" s="185">
        <v>20</v>
      </c>
      <c r="AK67" s="185"/>
      <c r="AL67" s="185">
        <v>9</v>
      </c>
      <c r="AM67" s="185">
        <v>2</v>
      </c>
      <c r="AN67" s="185">
        <v>2</v>
      </c>
      <c r="AO67" s="185">
        <v>1</v>
      </c>
      <c r="AP67" s="185">
        <v>1</v>
      </c>
      <c r="AQ67" s="185">
        <v>2</v>
      </c>
      <c r="AR67" s="185">
        <v>3</v>
      </c>
      <c r="AS67" s="169">
        <v>3</v>
      </c>
      <c r="AT67" s="185">
        <v>7</v>
      </c>
      <c r="AU67" s="185">
        <v>5</v>
      </c>
      <c r="AV67" s="185">
        <v>2</v>
      </c>
      <c r="AW67" s="185">
        <v>0</v>
      </c>
      <c r="AX67" s="132">
        <v>0</v>
      </c>
      <c r="AY67" s="185">
        <v>157</v>
      </c>
      <c r="AZ67" s="131">
        <v>1</v>
      </c>
      <c r="BA67" s="131">
        <v>2</v>
      </c>
      <c r="BB67" s="130"/>
      <c r="BC67" s="130"/>
      <c r="BD67" s="130"/>
      <c r="BE67" s="130"/>
      <c r="BF67" s="130"/>
      <c r="BG67" s="130"/>
      <c r="BH67" s="130">
        <v>1</v>
      </c>
      <c r="BI67" s="130"/>
      <c r="BJ67" s="185">
        <v>1</v>
      </c>
      <c r="BK67" s="169"/>
      <c r="BL67" s="185">
        <v>1</v>
      </c>
      <c r="BM67" s="185"/>
      <c r="BN67" s="185"/>
      <c r="BO67" s="185"/>
      <c r="BP67" s="185"/>
      <c r="BQ67" s="185"/>
      <c r="BR67" s="185"/>
      <c r="BS67" s="185"/>
      <c r="BT67" s="185"/>
      <c r="BU67" s="185"/>
      <c r="BV67" s="185"/>
      <c r="BW67" s="185"/>
      <c r="BX67" s="185"/>
      <c r="BY67" s="185"/>
      <c r="BZ67" s="132"/>
      <c r="CA67" s="185">
        <v>0</v>
      </c>
      <c r="CB67" s="130">
        <v>5</v>
      </c>
      <c r="CC67" s="130">
        <v>0</v>
      </c>
      <c r="CD67" s="130">
        <v>162</v>
      </c>
      <c r="CE67" s="130">
        <v>1</v>
      </c>
      <c r="CF67" s="133">
        <v>153</v>
      </c>
      <c r="CG67" s="134">
        <v>5</v>
      </c>
    </row>
    <row r="68" spans="1:85" x14ac:dyDescent="0.25">
      <c r="A68" s="14">
        <v>19</v>
      </c>
      <c r="B68" s="2" t="s">
        <v>23</v>
      </c>
      <c r="C68" s="15"/>
      <c r="D68" s="183"/>
      <c r="E68" s="16">
        <v>54</v>
      </c>
      <c r="F68" s="16"/>
      <c r="G68" s="17">
        <v>-3</v>
      </c>
      <c r="H68" s="17"/>
      <c r="I68" s="17"/>
      <c r="J68" s="17">
        <v>-1</v>
      </c>
      <c r="K68" s="136"/>
      <c r="L68" s="136">
        <v>-2</v>
      </c>
      <c r="M68" s="136"/>
      <c r="N68" s="136"/>
      <c r="O68" s="136">
        <v>-1</v>
      </c>
      <c r="P68" s="136"/>
      <c r="Q68" s="183">
        <v>-1</v>
      </c>
      <c r="R68" s="183">
        <v>-1</v>
      </c>
      <c r="S68" s="183"/>
      <c r="T68" s="183">
        <v>-3</v>
      </c>
      <c r="U68" s="183"/>
      <c r="V68" s="183"/>
      <c r="W68" s="183"/>
      <c r="X68" s="18">
        <v>55</v>
      </c>
      <c r="Y68" s="18">
        <v>3</v>
      </c>
      <c r="Z68" s="19">
        <v>12</v>
      </c>
      <c r="AA68" s="19">
        <v>26</v>
      </c>
      <c r="AB68" s="19">
        <v>18</v>
      </c>
      <c r="AC68" s="19">
        <v>16</v>
      </c>
      <c r="AD68" s="130">
        <v>3</v>
      </c>
      <c r="AE68" s="130">
        <v>11</v>
      </c>
      <c r="AF68" s="130">
        <v>8</v>
      </c>
      <c r="AG68" s="130">
        <v>5</v>
      </c>
      <c r="AH68" s="185">
        <v>4</v>
      </c>
      <c r="AI68" s="185">
        <v>4</v>
      </c>
      <c r="AJ68" s="185">
        <v>4</v>
      </c>
      <c r="AK68" s="185">
        <v>3</v>
      </c>
      <c r="AL68" s="185">
        <v>4</v>
      </c>
      <c r="AM68" s="169">
        <v>4</v>
      </c>
      <c r="AN68" s="169">
        <v>3</v>
      </c>
      <c r="AO68" s="185">
        <v>6</v>
      </c>
      <c r="AP68" s="185">
        <v>1</v>
      </c>
      <c r="AQ68" s="185">
        <v>1</v>
      </c>
      <c r="AR68" s="169">
        <v>4</v>
      </c>
      <c r="AS68" s="169">
        <v>1</v>
      </c>
      <c r="AT68" s="169">
        <v>1</v>
      </c>
      <c r="AU68" s="130">
        <v>2</v>
      </c>
      <c r="AV68" s="169">
        <v>1</v>
      </c>
      <c r="AW68" s="185">
        <v>6</v>
      </c>
      <c r="AX68" s="132">
        <v>0</v>
      </c>
      <c r="AY68" s="185">
        <v>194</v>
      </c>
      <c r="AZ68" s="131">
        <v>1</v>
      </c>
      <c r="BA68" s="131">
        <v>3</v>
      </c>
      <c r="BB68" s="130">
        <v>1</v>
      </c>
      <c r="BC68" s="130">
        <v>5</v>
      </c>
      <c r="BD68" s="130">
        <v>-2</v>
      </c>
      <c r="BE68" s="130">
        <v>2</v>
      </c>
      <c r="BF68" s="130">
        <v>3</v>
      </c>
      <c r="BG68" s="130">
        <v>3</v>
      </c>
      <c r="BH68" s="130">
        <v>5</v>
      </c>
      <c r="BI68" s="130">
        <v>1</v>
      </c>
      <c r="BJ68" s="185">
        <v>1</v>
      </c>
      <c r="BK68" s="185">
        <v>1</v>
      </c>
      <c r="BL68" s="185"/>
      <c r="BM68" s="185"/>
      <c r="BN68" s="185"/>
      <c r="BO68" s="169"/>
      <c r="BP68" s="185"/>
      <c r="BQ68" s="185"/>
      <c r="BR68" s="185"/>
      <c r="BS68" s="185"/>
      <c r="BT68" s="185"/>
      <c r="BU68" s="185"/>
      <c r="BV68" s="228"/>
      <c r="BW68" s="185"/>
      <c r="BX68" s="185">
        <v>1</v>
      </c>
      <c r="BY68" s="185"/>
      <c r="BZ68" s="132"/>
      <c r="CA68" s="185">
        <v>0</v>
      </c>
      <c r="CB68" s="130">
        <v>24</v>
      </c>
      <c r="CC68" s="130">
        <v>0</v>
      </c>
      <c r="CD68" s="130">
        <v>218</v>
      </c>
      <c r="CE68" s="130">
        <v>1</v>
      </c>
      <c r="CF68" s="133">
        <v>195</v>
      </c>
      <c r="CG68" s="134">
        <v>24</v>
      </c>
    </row>
    <row r="69" spans="1:85" x14ac:dyDescent="0.25">
      <c r="A69" s="14">
        <v>28</v>
      </c>
      <c r="B69" s="2" t="s">
        <v>31</v>
      </c>
      <c r="C69" s="22"/>
      <c r="D69" s="183">
        <v>-1</v>
      </c>
      <c r="E69" s="16">
        <v>128</v>
      </c>
      <c r="F69" s="16"/>
      <c r="G69" s="17"/>
      <c r="H69" s="17">
        <v>-1</v>
      </c>
      <c r="I69" s="17"/>
      <c r="J69" s="17">
        <v>-1</v>
      </c>
      <c r="K69" s="136">
        <v>-2</v>
      </c>
      <c r="L69" s="136">
        <v>-3</v>
      </c>
      <c r="M69" s="136">
        <v>-3</v>
      </c>
      <c r="N69" s="136">
        <v>-2</v>
      </c>
      <c r="O69" s="136">
        <v>-1</v>
      </c>
      <c r="P69" s="136"/>
      <c r="Q69" s="183"/>
      <c r="R69" s="183">
        <v>-2</v>
      </c>
      <c r="S69" s="183">
        <v>-2</v>
      </c>
      <c r="T69" s="183">
        <v>-2</v>
      </c>
      <c r="U69" s="183">
        <v>-1</v>
      </c>
      <c r="V69" s="183"/>
      <c r="W69" s="183">
        <v>-1</v>
      </c>
      <c r="X69" s="18">
        <v>117</v>
      </c>
      <c r="Y69" s="18">
        <v>5</v>
      </c>
      <c r="Z69" s="19">
        <v>8</v>
      </c>
      <c r="AA69" s="19">
        <v>13</v>
      </c>
      <c r="AB69" s="19">
        <v>13</v>
      </c>
      <c r="AC69" s="19">
        <v>11</v>
      </c>
      <c r="AD69" s="130">
        <v>8</v>
      </c>
      <c r="AE69" s="130">
        <v>24</v>
      </c>
      <c r="AF69" s="130">
        <v>16</v>
      </c>
      <c r="AG69" s="130">
        <v>9</v>
      </c>
      <c r="AH69" s="185">
        <v>10</v>
      </c>
      <c r="AI69" s="185">
        <v>18</v>
      </c>
      <c r="AJ69" s="185">
        <v>2</v>
      </c>
      <c r="AK69" s="185">
        <v>2</v>
      </c>
      <c r="AL69" s="185">
        <v>3</v>
      </c>
      <c r="AM69" s="185">
        <v>4</v>
      </c>
      <c r="AN69" s="169">
        <v>1</v>
      </c>
      <c r="AO69" s="185">
        <v>2</v>
      </c>
      <c r="AP69" s="185">
        <v>1</v>
      </c>
      <c r="AQ69" s="185">
        <v>1</v>
      </c>
      <c r="AR69" s="185">
        <v>1</v>
      </c>
      <c r="AS69" s="185">
        <v>2</v>
      </c>
      <c r="AT69" s="169">
        <v>1</v>
      </c>
      <c r="AU69" s="169">
        <v>6</v>
      </c>
      <c r="AV69" s="169">
        <v>3</v>
      </c>
      <c r="AW69" s="185">
        <v>0</v>
      </c>
      <c r="AX69" s="132">
        <v>1</v>
      </c>
      <c r="AY69" s="185">
        <v>261</v>
      </c>
      <c r="AZ69" s="131">
        <v>1</v>
      </c>
      <c r="BA69" s="131">
        <v>14</v>
      </c>
      <c r="BB69" s="130"/>
      <c r="BC69" s="130"/>
      <c r="BD69" s="130">
        <v>-1</v>
      </c>
      <c r="BE69" s="130"/>
      <c r="BF69" s="130">
        <v>1</v>
      </c>
      <c r="BG69" s="130">
        <v>1</v>
      </c>
      <c r="BH69" s="130">
        <v>2</v>
      </c>
      <c r="BI69" s="130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32">
        <v>1</v>
      </c>
      <c r="CA69" s="185">
        <v>0</v>
      </c>
      <c r="CB69" s="130">
        <v>18</v>
      </c>
      <c r="CC69" s="130">
        <v>0</v>
      </c>
      <c r="CD69" s="130">
        <v>279</v>
      </c>
      <c r="CE69" s="130">
        <v>1</v>
      </c>
      <c r="CF69" s="133">
        <v>261</v>
      </c>
      <c r="CG69" s="135">
        <v>18</v>
      </c>
    </row>
    <row r="70" spans="1:85" x14ac:dyDescent="0.25">
      <c r="A70" s="14">
        <v>39</v>
      </c>
      <c r="B70" s="2" t="s">
        <v>42</v>
      </c>
      <c r="C70" s="22"/>
      <c r="D70" s="183"/>
      <c r="E70" s="16">
        <v>86</v>
      </c>
      <c r="F70" s="16"/>
      <c r="G70" s="17">
        <v>-2</v>
      </c>
      <c r="H70" s="17"/>
      <c r="I70" s="17">
        <v>-1</v>
      </c>
      <c r="J70" s="17"/>
      <c r="K70" s="136"/>
      <c r="L70" s="136"/>
      <c r="M70" s="136"/>
      <c r="N70" s="136"/>
      <c r="O70" s="136">
        <v>-6</v>
      </c>
      <c r="P70" s="136">
        <v>-1</v>
      </c>
      <c r="Q70" s="183">
        <v>-1</v>
      </c>
      <c r="R70" s="183"/>
      <c r="S70" s="183"/>
      <c r="T70" s="183">
        <v>-2</v>
      </c>
      <c r="U70" s="183"/>
      <c r="V70" s="183"/>
      <c r="W70" s="183"/>
      <c r="X70" s="18">
        <v>82</v>
      </c>
      <c r="Y70" s="18">
        <v>3</v>
      </c>
      <c r="Z70" s="19">
        <v>1</v>
      </c>
      <c r="AA70" s="19">
        <v>2</v>
      </c>
      <c r="AB70" s="19">
        <v>3</v>
      </c>
      <c r="AC70" s="19"/>
      <c r="AD70" s="130">
        <v>10</v>
      </c>
      <c r="AE70" s="130">
        <v>13</v>
      </c>
      <c r="AF70" s="130">
        <v>2</v>
      </c>
      <c r="AG70" s="130">
        <v>2</v>
      </c>
      <c r="AH70" s="185">
        <v>7</v>
      </c>
      <c r="AI70" s="185">
        <v>1</v>
      </c>
      <c r="AJ70" s="185">
        <v>3</v>
      </c>
      <c r="AK70" s="185">
        <v>5</v>
      </c>
      <c r="AL70" s="185">
        <v>2</v>
      </c>
      <c r="AM70" s="185">
        <v>8</v>
      </c>
      <c r="AN70" s="169">
        <v>1</v>
      </c>
      <c r="AO70" s="185"/>
      <c r="AP70" s="185">
        <v>1</v>
      </c>
      <c r="AQ70" s="185">
        <v>1</v>
      </c>
      <c r="AR70" s="185">
        <v>0</v>
      </c>
      <c r="AS70" s="185">
        <v>1</v>
      </c>
      <c r="AT70" s="185">
        <v>2</v>
      </c>
      <c r="AU70" s="185">
        <v>1</v>
      </c>
      <c r="AV70" s="185">
        <v>0</v>
      </c>
      <c r="AW70" s="169">
        <v>0</v>
      </c>
      <c r="AX70" s="132">
        <v>0</v>
      </c>
      <c r="AY70" s="185">
        <v>138</v>
      </c>
      <c r="AZ70" s="131">
        <v>1</v>
      </c>
      <c r="BA70" s="131">
        <v>4</v>
      </c>
      <c r="BB70" s="130"/>
      <c r="BC70" s="130"/>
      <c r="BD70" s="130">
        <v>-1</v>
      </c>
      <c r="BE70" s="130"/>
      <c r="BF70" s="130"/>
      <c r="BG70" s="130">
        <v>5</v>
      </c>
      <c r="BH70" s="130">
        <v>2</v>
      </c>
      <c r="BI70" s="130">
        <v>1</v>
      </c>
      <c r="BJ70" s="185"/>
      <c r="BK70" s="185">
        <v>1</v>
      </c>
      <c r="BL70" s="185"/>
      <c r="BM70" s="185"/>
      <c r="BN70" s="185"/>
      <c r="BO70" s="185">
        <v>1</v>
      </c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32"/>
      <c r="CA70" s="185">
        <v>0</v>
      </c>
      <c r="CB70" s="130">
        <v>13</v>
      </c>
      <c r="CC70" s="130">
        <v>0</v>
      </c>
      <c r="CD70" s="130">
        <v>151</v>
      </c>
      <c r="CE70" s="130">
        <v>1</v>
      </c>
      <c r="CF70" s="133">
        <v>139</v>
      </c>
      <c r="CG70" s="134">
        <v>13</v>
      </c>
    </row>
    <row r="71" spans="1:85" x14ac:dyDescent="0.25">
      <c r="A71" s="14">
        <v>42</v>
      </c>
      <c r="B71" s="2" t="s">
        <v>45</v>
      </c>
      <c r="C71" s="15"/>
      <c r="D71" s="183"/>
      <c r="E71" s="16">
        <v>64</v>
      </c>
      <c r="F71" s="16"/>
      <c r="G71" s="17"/>
      <c r="H71" s="17">
        <v>-1</v>
      </c>
      <c r="I71" s="17"/>
      <c r="J71" s="17"/>
      <c r="K71" s="136">
        <v>-2</v>
      </c>
      <c r="L71" s="136"/>
      <c r="M71" s="136"/>
      <c r="N71" s="136"/>
      <c r="O71" s="136">
        <v>-1</v>
      </c>
      <c r="P71" s="136"/>
      <c r="Q71" s="183"/>
      <c r="R71" s="183">
        <v>-13</v>
      </c>
      <c r="S71" s="183"/>
      <c r="T71" s="183"/>
      <c r="U71" s="183"/>
      <c r="V71" s="183">
        <v>-3</v>
      </c>
      <c r="W71" s="183"/>
      <c r="X71" s="18">
        <v>63</v>
      </c>
      <c r="Y71" s="18">
        <v>1</v>
      </c>
      <c r="Z71" s="19">
        <v>6</v>
      </c>
      <c r="AA71" s="19">
        <v>8</v>
      </c>
      <c r="AB71" s="19">
        <v>7</v>
      </c>
      <c r="AC71" s="170">
        <v>1</v>
      </c>
      <c r="AD71" s="130">
        <v>6</v>
      </c>
      <c r="AE71" s="130">
        <v>2</v>
      </c>
      <c r="AF71" s="130">
        <v>7</v>
      </c>
      <c r="AG71" s="130"/>
      <c r="AH71" s="185">
        <v>2</v>
      </c>
      <c r="AI71" s="185">
        <v>1</v>
      </c>
      <c r="AJ71" s="185">
        <v>2</v>
      </c>
      <c r="AK71" s="185">
        <v>26</v>
      </c>
      <c r="AL71" s="185">
        <v>2</v>
      </c>
      <c r="AM71" s="185">
        <v>3</v>
      </c>
      <c r="AN71" s="169">
        <v>3</v>
      </c>
      <c r="AO71" s="185">
        <v>1</v>
      </c>
      <c r="AP71" s="185">
        <v>9</v>
      </c>
      <c r="AQ71" s="185">
        <v>1</v>
      </c>
      <c r="AR71" s="185">
        <v>2</v>
      </c>
      <c r="AS71" s="185">
        <v>13</v>
      </c>
      <c r="AT71" s="185">
        <v>1</v>
      </c>
      <c r="AU71" s="169">
        <v>1</v>
      </c>
      <c r="AV71" s="185">
        <v>1</v>
      </c>
      <c r="AW71" s="185">
        <v>0</v>
      </c>
      <c r="AX71" s="132">
        <v>0</v>
      </c>
      <c r="AY71" s="185">
        <v>149</v>
      </c>
      <c r="AZ71" s="131">
        <v>1</v>
      </c>
      <c r="BA71" s="131">
        <v>4</v>
      </c>
      <c r="BB71" s="130"/>
      <c r="BC71" s="130">
        <v>17</v>
      </c>
      <c r="BD71" s="130"/>
      <c r="BE71" s="169"/>
      <c r="BF71" s="130"/>
      <c r="BG71" s="130">
        <v>2</v>
      </c>
      <c r="BH71" s="130"/>
      <c r="BI71" s="130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>
        <v>1</v>
      </c>
      <c r="BV71" s="185"/>
      <c r="BW71" s="185"/>
      <c r="BX71" s="185"/>
      <c r="BY71" s="185"/>
      <c r="BZ71" s="132"/>
      <c r="CA71" s="185">
        <v>0</v>
      </c>
      <c r="CB71" s="130">
        <v>24</v>
      </c>
      <c r="CC71" s="130">
        <v>0</v>
      </c>
      <c r="CD71" s="130">
        <v>173</v>
      </c>
      <c r="CE71" s="130">
        <v>1</v>
      </c>
      <c r="CF71" s="133">
        <v>150</v>
      </c>
      <c r="CG71" s="134">
        <v>24</v>
      </c>
    </row>
    <row r="72" spans="1:85" x14ac:dyDescent="0.25">
      <c r="A72" s="14">
        <v>44</v>
      </c>
      <c r="B72" s="2" t="s">
        <v>47</v>
      </c>
      <c r="C72" s="15"/>
      <c r="D72" s="183"/>
      <c r="E72" s="16">
        <v>17</v>
      </c>
      <c r="F72" s="16"/>
      <c r="G72" s="17"/>
      <c r="H72" s="17"/>
      <c r="I72" s="17"/>
      <c r="J72" s="17"/>
      <c r="K72" s="136"/>
      <c r="L72" s="136">
        <v>-1</v>
      </c>
      <c r="M72" s="136"/>
      <c r="N72" s="136">
        <v>-1</v>
      </c>
      <c r="O72" s="136">
        <v>-1</v>
      </c>
      <c r="P72" s="136">
        <v>-1</v>
      </c>
      <c r="Q72" s="183"/>
      <c r="R72" s="183"/>
      <c r="S72" s="183"/>
      <c r="T72" s="183"/>
      <c r="U72" s="183"/>
      <c r="V72" s="183"/>
      <c r="W72" s="183"/>
      <c r="X72" s="18">
        <v>17</v>
      </c>
      <c r="Y72" s="18">
        <v>2</v>
      </c>
      <c r="Z72" s="19">
        <v>8</v>
      </c>
      <c r="AA72" s="19"/>
      <c r="AB72" s="19"/>
      <c r="AC72" s="19">
        <v>4</v>
      </c>
      <c r="AD72" s="130">
        <v>5</v>
      </c>
      <c r="AE72" s="130">
        <v>17</v>
      </c>
      <c r="AF72" s="130">
        <v>9</v>
      </c>
      <c r="AG72" s="130">
        <v>15</v>
      </c>
      <c r="AH72" s="185">
        <v>13</v>
      </c>
      <c r="AI72" s="185">
        <v>19</v>
      </c>
      <c r="AJ72" s="185">
        <v>16</v>
      </c>
      <c r="AK72" s="185">
        <v>7</v>
      </c>
      <c r="AL72" s="185">
        <v>2</v>
      </c>
      <c r="AM72" s="185"/>
      <c r="AN72" s="185">
        <v>2</v>
      </c>
      <c r="AO72" s="185">
        <v>5</v>
      </c>
      <c r="AP72" s="185">
        <v>1</v>
      </c>
      <c r="AQ72" s="185">
        <v>8</v>
      </c>
      <c r="AR72" s="185">
        <v>9</v>
      </c>
      <c r="AS72" s="169">
        <v>1</v>
      </c>
      <c r="AT72" s="185">
        <v>3</v>
      </c>
      <c r="AU72" s="169">
        <v>2</v>
      </c>
      <c r="AV72" s="185">
        <v>1</v>
      </c>
      <c r="AW72" s="185">
        <v>3</v>
      </c>
      <c r="AX72" s="132">
        <v>10</v>
      </c>
      <c r="AY72" s="185">
        <v>175</v>
      </c>
      <c r="AZ72" s="131">
        <v>1</v>
      </c>
      <c r="BA72" s="131"/>
      <c r="BB72" s="130"/>
      <c r="BC72" s="130"/>
      <c r="BD72" s="130"/>
      <c r="BE72" s="130"/>
      <c r="BF72" s="130"/>
      <c r="BG72" s="130"/>
      <c r="BH72" s="130"/>
      <c r="BI72" s="130">
        <v>3</v>
      </c>
      <c r="BJ72" s="185">
        <v>5</v>
      </c>
      <c r="BK72" s="185"/>
      <c r="BL72" s="185"/>
      <c r="BM72" s="185">
        <v>6</v>
      </c>
      <c r="BN72" s="185"/>
      <c r="BO72" s="185">
        <v>1</v>
      </c>
      <c r="BP72" s="185"/>
      <c r="BQ72" s="185">
        <v>1</v>
      </c>
      <c r="BR72" s="185"/>
      <c r="BS72" s="185"/>
      <c r="BT72" s="185"/>
      <c r="BU72" s="185"/>
      <c r="BV72" s="185"/>
      <c r="BW72" s="185">
        <v>3</v>
      </c>
      <c r="BX72" s="185">
        <v>1</v>
      </c>
      <c r="BY72" s="185"/>
      <c r="BZ72" s="132">
        <v>2</v>
      </c>
      <c r="CA72" s="185">
        <v>1</v>
      </c>
      <c r="CB72" s="130">
        <v>23</v>
      </c>
      <c r="CC72" s="130">
        <v>0</v>
      </c>
      <c r="CD72" s="130">
        <v>198</v>
      </c>
      <c r="CE72" s="130">
        <v>1</v>
      </c>
      <c r="CF72" s="133">
        <v>176</v>
      </c>
      <c r="CG72" s="134">
        <v>23</v>
      </c>
    </row>
    <row r="73" spans="1:85" x14ac:dyDescent="0.25">
      <c r="A73" s="14">
        <v>47</v>
      </c>
      <c r="B73" s="2" t="s">
        <v>50</v>
      </c>
      <c r="C73" s="15"/>
      <c r="D73" s="183"/>
      <c r="E73" s="16">
        <v>42</v>
      </c>
      <c r="F73" s="16"/>
      <c r="G73" s="17"/>
      <c r="H73" s="17"/>
      <c r="I73" s="17"/>
      <c r="J73" s="17"/>
      <c r="K73" s="136"/>
      <c r="L73" s="136"/>
      <c r="M73" s="136"/>
      <c r="N73" s="136"/>
      <c r="O73" s="136"/>
      <c r="P73" s="136"/>
      <c r="Q73" s="183"/>
      <c r="R73" s="183"/>
      <c r="S73" s="183"/>
      <c r="T73" s="183"/>
      <c r="U73" s="183"/>
      <c r="V73" s="183"/>
      <c r="W73" s="183"/>
      <c r="X73" s="18">
        <v>41</v>
      </c>
      <c r="Y73" s="18"/>
      <c r="Z73" s="19">
        <v>4</v>
      </c>
      <c r="AA73" s="19">
        <v>2</v>
      </c>
      <c r="AB73" s="19">
        <v>9</v>
      </c>
      <c r="AC73" s="19"/>
      <c r="AD73" s="130"/>
      <c r="AE73" s="130"/>
      <c r="AF73" s="130">
        <v>4</v>
      </c>
      <c r="AG73" s="130"/>
      <c r="AH73" s="185">
        <v>2</v>
      </c>
      <c r="AI73" s="185">
        <v>4</v>
      </c>
      <c r="AJ73" s="185"/>
      <c r="AK73" s="185">
        <v>24</v>
      </c>
      <c r="AL73" s="185">
        <v>4</v>
      </c>
      <c r="AM73" s="185">
        <v>14</v>
      </c>
      <c r="AN73" s="185">
        <v>2</v>
      </c>
      <c r="AO73" s="185">
        <v>1</v>
      </c>
      <c r="AP73" s="185">
        <v>12</v>
      </c>
      <c r="AQ73" s="185">
        <v>3</v>
      </c>
      <c r="AR73" s="185">
        <v>1</v>
      </c>
      <c r="AS73" s="185">
        <v>2</v>
      </c>
      <c r="AT73" s="185">
        <v>1</v>
      </c>
      <c r="AU73" s="185">
        <v>0</v>
      </c>
      <c r="AV73" s="185">
        <v>0</v>
      </c>
      <c r="AW73" s="169">
        <v>0</v>
      </c>
      <c r="AX73" s="132">
        <v>1</v>
      </c>
      <c r="AY73" s="185">
        <v>131</v>
      </c>
      <c r="AZ73" s="131">
        <v>0</v>
      </c>
      <c r="BA73" s="131">
        <v>1</v>
      </c>
      <c r="BB73" s="130"/>
      <c r="BC73" s="130">
        <v>1</v>
      </c>
      <c r="BD73" s="130">
        <v>-1</v>
      </c>
      <c r="BE73" s="130"/>
      <c r="BF73" s="130"/>
      <c r="BG73" s="130"/>
      <c r="BH73" s="130"/>
      <c r="BI73" s="130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  <c r="BV73" s="185"/>
      <c r="BW73" s="185"/>
      <c r="BX73" s="185"/>
      <c r="BY73" s="185"/>
      <c r="BZ73" s="132">
        <v>2</v>
      </c>
      <c r="CA73" s="185">
        <v>0</v>
      </c>
      <c r="CB73" s="130">
        <v>3</v>
      </c>
      <c r="CC73" s="130">
        <v>1</v>
      </c>
      <c r="CD73" s="130">
        <v>134</v>
      </c>
      <c r="CE73" s="130">
        <v>1</v>
      </c>
      <c r="CF73" s="133">
        <v>131</v>
      </c>
      <c r="CG73" s="134">
        <v>4</v>
      </c>
    </row>
    <row r="74" spans="1:85" x14ac:dyDescent="0.25">
      <c r="A74" s="14">
        <v>48</v>
      </c>
      <c r="B74" s="2" t="s">
        <v>51</v>
      </c>
      <c r="C74" s="15"/>
      <c r="D74" s="136"/>
      <c r="E74" s="16">
        <v>26</v>
      </c>
      <c r="F74" s="16"/>
      <c r="G74" s="17"/>
      <c r="H74" s="17"/>
      <c r="I74" s="17"/>
      <c r="J74" s="17">
        <v>-1</v>
      </c>
      <c r="K74" s="136"/>
      <c r="L74" s="136"/>
      <c r="M74" s="136"/>
      <c r="N74" s="136"/>
      <c r="O74" s="136"/>
      <c r="P74" s="136">
        <v>-2</v>
      </c>
      <c r="Q74" s="136"/>
      <c r="R74" s="136">
        <v>-4</v>
      </c>
      <c r="S74" s="136"/>
      <c r="T74" s="136"/>
      <c r="U74" s="136"/>
      <c r="V74" s="136"/>
      <c r="W74" s="136">
        <v>-1</v>
      </c>
      <c r="X74" s="18">
        <v>35</v>
      </c>
      <c r="Y74" s="18"/>
      <c r="Z74" s="19"/>
      <c r="AA74" s="19">
        <v>3</v>
      </c>
      <c r="AB74" s="19">
        <v>1</v>
      </c>
      <c r="AC74" s="19">
        <v>2</v>
      </c>
      <c r="AD74" s="130">
        <v>1</v>
      </c>
      <c r="AE74" s="130">
        <v>1</v>
      </c>
      <c r="AF74" s="130">
        <v>7</v>
      </c>
      <c r="AG74" s="130">
        <v>4</v>
      </c>
      <c r="AH74" s="185">
        <v>2</v>
      </c>
      <c r="AI74" s="185">
        <v>11</v>
      </c>
      <c r="AJ74" s="185">
        <v>1</v>
      </c>
      <c r="AK74" s="185">
        <v>92</v>
      </c>
      <c r="AL74" s="185">
        <v>10</v>
      </c>
      <c r="AM74" s="185">
        <v>4</v>
      </c>
      <c r="AN74" s="185">
        <v>2</v>
      </c>
      <c r="AO74" s="185"/>
      <c r="AP74" s="185">
        <v>1</v>
      </c>
      <c r="AQ74" s="185">
        <v>1</v>
      </c>
      <c r="AR74" s="185">
        <v>1</v>
      </c>
      <c r="AS74" s="185">
        <v>2</v>
      </c>
      <c r="AT74" s="185">
        <v>3</v>
      </c>
      <c r="AU74" s="185">
        <v>2</v>
      </c>
      <c r="AV74" s="169">
        <v>2</v>
      </c>
      <c r="AW74" s="185">
        <v>1</v>
      </c>
      <c r="AX74" s="132">
        <v>-2</v>
      </c>
      <c r="AY74" s="185">
        <v>179</v>
      </c>
      <c r="AZ74" s="131">
        <v>1</v>
      </c>
      <c r="BA74" s="131"/>
      <c r="BB74" s="130"/>
      <c r="BC74" s="130"/>
      <c r="BD74" s="130"/>
      <c r="BE74" s="130"/>
      <c r="BF74" s="130"/>
      <c r="BG74" s="130"/>
      <c r="BH74" s="130"/>
      <c r="BI74" s="130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85"/>
      <c r="BV74" s="185"/>
      <c r="BW74" s="185"/>
      <c r="BX74" s="185"/>
      <c r="BY74" s="185"/>
      <c r="BZ74" s="132">
        <v>1</v>
      </c>
      <c r="CA74" s="185">
        <v>1</v>
      </c>
      <c r="CB74" s="130">
        <v>2</v>
      </c>
      <c r="CC74" s="130">
        <v>0</v>
      </c>
      <c r="CD74" s="130">
        <v>181</v>
      </c>
      <c r="CE74" s="130">
        <v>1</v>
      </c>
      <c r="CF74" s="133">
        <v>180</v>
      </c>
      <c r="CG74" s="134">
        <v>2</v>
      </c>
    </row>
    <row r="75" spans="1:85" x14ac:dyDescent="0.25">
      <c r="A75" s="14">
        <v>55</v>
      </c>
      <c r="B75" s="2" t="s">
        <v>58</v>
      </c>
      <c r="C75" s="22"/>
      <c r="D75" s="183"/>
      <c r="E75" s="16">
        <v>78</v>
      </c>
      <c r="F75" s="16"/>
      <c r="G75" s="17"/>
      <c r="H75" s="17">
        <v>-1</v>
      </c>
      <c r="I75" s="17"/>
      <c r="J75" s="17"/>
      <c r="K75" s="136"/>
      <c r="L75" s="136"/>
      <c r="M75" s="136"/>
      <c r="N75" s="136">
        <v>-1</v>
      </c>
      <c r="O75" s="136"/>
      <c r="P75" s="136"/>
      <c r="Q75" s="183"/>
      <c r="R75" s="183"/>
      <c r="S75" s="183"/>
      <c r="T75" s="183"/>
      <c r="U75" s="183"/>
      <c r="V75" s="183"/>
      <c r="W75" s="183"/>
      <c r="X75" s="18">
        <v>78</v>
      </c>
      <c r="Y75" s="18"/>
      <c r="Z75" s="19">
        <v>4</v>
      </c>
      <c r="AA75" s="19">
        <v>5</v>
      </c>
      <c r="AB75" s="19">
        <v>1</v>
      </c>
      <c r="AC75" s="19">
        <v>11</v>
      </c>
      <c r="AD75" s="130"/>
      <c r="AE75" s="130">
        <v>5</v>
      </c>
      <c r="AF75" s="130"/>
      <c r="AG75" s="130">
        <v>2</v>
      </c>
      <c r="AH75" s="185"/>
      <c r="AI75" s="185">
        <v>2</v>
      </c>
      <c r="AJ75" s="185"/>
      <c r="AK75" s="185">
        <v>9</v>
      </c>
      <c r="AL75" s="185">
        <v>5</v>
      </c>
      <c r="AM75" s="185"/>
      <c r="AN75" s="185"/>
      <c r="AO75" s="185">
        <v>4</v>
      </c>
      <c r="AP75" s="185">
        <v>8</v>
      </c>
      <c r="AQ75" s="185">
        <v>2</v>
      </c>
      <c r="AR75" s="169"/>
      <c r="AS75" s="169">
        <v>5</v>
      </c>
      <c r="AT75" s="185"/>
      <c r="AU75" s="185">
        <v>1</v>
      </c>
      <c r="AV75" s="185">
        <v>1</v>
      </c>
      <c r="AW75" s="185"/>
      <c r="AX75" s="132">
        <v>0</v>
      </c>
      <c r="AY75" s="185">
        <v>141</v>
      </c>
      <c r="AZ75" s="131">
        <v>1</v>
      </c>
      <c r="BA75" s="131">
        <v>1</v>
      </c>
      <c r="BB75" s="130"/>
      <c r="BC75" s="130"/>
      <c r="BD75" s="130"/>
      <c r="BE75" s="130"/>
      <c r="BF75" s="130"/>
      <c r="BG75" s="130"/>
      <c r="BH75" s="130"/>
      <c r="BI75" s="130"/>
      <c r="BJ75" s="185">
        <v>1</v>
      </c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  <c r="BV75" s="185"/>
      <c r="BW75" s="185"/>
      <c r="BX75" s="185"/>
      <c r="BY75" s="185"/>
      <c r="BZ75" s="132"/>
      <c r="CA75" s="185"/>
      <c r="CB75" s="130">
        <v>2</v>
      </c>
      <c r="CC75" s="130">
        <v>0</v>
      </c>
      <c r="CD75" s="130">
        <v>143</v>
      </c>
      <c r="CE75" s="130">
        <v>1</v>
      </c>
      <c r="CF75" s="133">
        <v>142</v>
      </c>
      <c r="CG75" s="134">
        <v>2</v>
      </c>
    </row>
    <row r="76" spans="1:85" x14ac:dyDescent="0.25">
      <c r="A76" s="14">
        <v>60</v>
      </c>
      <c r="B76" s="2" t="s">
        <v>63</v>
      </c>
      <c r="C76" s="22"/>
      <c r="D76" s="183"/>
      <c r="E76" s="16">
        <v>214</v>
      </c>
      <c r="F76" s="16"/>
      <c r="G76" s="17"/>
      <c r="H76" s="17">
        <v>-2</v>
      </c>
      <c r="I76" s="17"/>
      <c r="J76" s="17">
        <v>-6</v>
      </c>
      <c r="K76" s="136">
        <v>-1</v>
      </c>
      <c r="L76" s="136">
        <v>-2</v>
      </c>
      <c r="M76" s="136">
        <v>-2</v>
      </c>
      <c r="N76" s="136">
        <v>-1</v>
      </c>
      <c r="O76" s="136"/>
      <c r="P76" s="136">
        <v>-1</v>
      </c>
      <c r="Q76" s="183"/>
      <c r="R76" s="183">
        <v>-1</v>
      </c>
      <c r="S76" s="183"/>
      <c r="T76" s="183">
        <v>-1</v>
      </c>
      <c r="U76" s="183"/>
      <c r="V76" s="183"/>
      <c r="W76" s="183"/>
      <c r="X76" s="18">
        <v>213</v>
      </c>
      <c r="Y76" s="18">
        <v>26</v>
      </c>
      <c r="Z76" s="19">
        <v>3</v>
      </c>
      <c r="AA76" s="19">
        <v>31</v>
      </c>
      <c r="AB76" s="19">
        <v>6</v>
      </c>
      <c r="AC76" s="19">
        <v>50</v>
      </c>
      <c r="AD76" s="130">
        <v>6</v>
      </c>
      <c r="AE76" s="130">
        <v>11</v>
      </c>
      <c r="AF76" s="130">
        <v>12</v>
      </c>
      <c r="AG76" s="130">
        <v>14</v>
      </c>
      <c r="AH76" s="185">
        <v>2</v>
      </c>
      <c r="AI76" s="185">
        <v>3</v>
      </c>
      <c r="AJ76" s="185">
        <v>6</v>
      </c>
      <c r="AK76" s="185">
        <v>5</v>
      </c>
      <c r="AL76" s="185">
        <v>5</v>
      </c>
      <c r="AM76" s="185">
        <v>9</v>
      </c>
      <c r="AN76" s="169">
        <v>4</v>
      </c>
      <c r="AO76" s="185">
        <v>1</v>
      </c>
      <c r="AP76" s="185">
        <v>1</v>
      </c>
      <c r="AQ76" s="185">
        <v>7</v>
      </c>
      <c r="AR76" s="185">
        <v>37</v>
      </c>
      <c r="AS76" s="169">
        <v>42</v>
      </c>
      <c r="AT76" s="185">
        <v>18</v>
      </c>
      <c r="AU76" s="169">
        <v>12</v>
      </c>
      <c r="AV76" s="169">
        <v>1</v>
      </c>
      <c r="AW76" s="169">
        <v>19</v>
      </c>
      <c r="AX76" s="132">
        <v>1</v>
      </c>
      <c r="AY76" s="185">
        <v>528</v>
      </c>
      <c r="AZ76" s="131">
        <v>1</v>
      </c>
      <c r="BA76" s="131">
        <v>2</v>
      </c>
      <c r="BB76" s="130">
        <v>1</v>
      </c>
      <c r="BC76" s="130">
        <v>-1</v>
      </c>
      <c r="BD76" s="130"/>
      <c r="BE76" s="130"/>
      <c r="BF76" s="130"/>
      <c r="BG76" s="130">
        <v>1</v>
      </c>
      <c r="BH76" s="130">
        <v>1</v>
      </c>
      <c r="BI76" s="130"/>
      <c r="BJ76" s="185">
        <v>2</v>
      </c>
      <c r="BK76" s="185"/>
      <c r="BL76" s="185"/>
      <c r="BM76" s="185">
        <v>1</v>
      </c>
      <c r="BN76" s="185">
        <v>1</v>
      </c>
      <c r="BO76" s="185">
        <v>1</v>
      </c>
      <c r="BP76" s="185">
        <v>1</v>
      </c>
      <c r="BQ76" s="185"/>
      <c r="BR76" s="185"/>
      <c r="BS76" s="185"/>
      <c r="BT76" s="185"/>
      <c r="BU76" s="185"/>
      <c r="BV76" s="185"/>
      <c r="BW76" s="185"/>
      <c r="BX76" s="185"/>
      <c r="BY76" s="185"/>
      <c r="BZ76" s="132"/>
      <c r="CA76" s="185"/>
      <c r="CB76" s="130">
        <v>10</v>
      </c>
      <c r="CC76" s="130">
        <v>0</v>
      </c>
      <c r="CD76" s="130">
        <v>538</v>
      </c>
      <c r="CE76" s="130">
        <v>1</v>
      </c>
      <c r="CF76" s="133">
        <v>529</v>
      </c>
      <c r="CG76" s="134">
        <v>10</v>
      </c>
    </row>
    <row r="77" spans="1:85" x14ac:dyDescent="0.25">
      <c r="A77" s="14">
        <v>62</v>
      </c>
      <c r="B77" s="2" t="s">
        <v>65</v>
      </c>
      <c r="C77" s="22"/>
      <c r="D77" s="183"/>
      <c r="E77" s="16">
        <v>34</v>
      </c>
      <c r="F77" s="16"/>
      <c r="G77" s="17">
        <v>-1</v>
      </c>
      <c r="H77" s="17"/>
      <c r="I77" s="17">
        <v>-2</v>
      </c>
      <c r="J77" s="17">
        <v>-1</v>
      </c>
      <c r="K77" s="136"/>
      <c r="L77" s="136"/>
      <c r="M77" s="136"/>
      <c r="N77" s="136"/>
      <c r="O77" s="136"/>
      <c r="P77" s="136">
        <v>-1</v>
      </c>
      <c r="Q77" s="183"/>
      <c r="R77" s="183"/>
      <c r="S77" s="183">
        <v>-1</v>
      </c>
      <c r="T77" s="183"/>
      <c r="U77" s="183"/>
      <c r="V77" s="183">
        <v>-1</v>
      </c>
      <c r="W77" s="183"/>
      <c r="X77" s="18">
        <v>35</v>
      </c>
      <c r="Y77" s="18">
        <v>9</v>
      </c>
      <c r="Z77" s="19">
        <v>1</v>
      </c>
      <c r="AA77" s="19">
        <v>3</v>
      </c>
      <c r="AB77" s="19">
        <v>21</v>
      </c>
      <c r="AC77" s="19">
        <v>17</v>
      </c>
      <c r="AD77" s="130">
        <v>1</v>
      </c>
      <c r="AE77" s="130">
        <v>6</v>
      </c>
      <c r="AF77" s="130">
        <v>28</v>
      </c>
      <c r="AG77" s="130">
        <v>2</v>
      </c>
      <c r="AH77" s="185">
        <v>2</v>
      </c>
      <c r="AI77" s="185">
        <v>3</v>
      </c>
      <c r="AJ77" s="185">
        <v>6</v>
      </c>
      <c r="AK77" s="185">
        <v>5</v>
      </c>
      <c r="AL77" s="185">
        <v>9</v>
      </c>
      <c r="AM77" s="185">
        <v>3</v>
      </c>
      <c r="AN77" s="169">
        <v>1</v>
      </c>
      <c r="AO77" s="185">
        <v>5</v>
      </c>
      <c r="AP77" s="185">
        <v>4</v>
      </c>
      <c r="AQ77" s="185">
        <v>1</v>
      </c>
      <c r="AR77" s="169">
        <v>1</v>
      </c>
      <c r="AS77" s="185">
        <v>2</v>
      </c>
      <c r="AT77" s="169"/>
      <c r="AU77" s="169">
        <v>2</v>
      </c>
      <c r="AV77" s="185">
        <v>1</v>
      </c>
      <c r="AW77" s="169">
        <v>1</v>
      </c>
      <c r="AX77" s="132">
        <v>1</v>
      </c>
      <c r="AY77" s="185">
        <v>163</v>
      </c>
      <c r="AZ77" s="131">
        <v>1</v>
      </c>
      <c r="BA77" s="131"/>
      <c r="BB77" s="130"/>
      <c r="BC77" s="130"/>
      <c r="BD77" s="130"/>
      <c r="BE77" s="130"/>
      <c r="BF77" s="130">
        <v>1</v>
      </c>
      <c r="BG77" s="130"/>
      <c r="BH77" s="130"/>
      <c r="BI77" s="130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32"/>
      <c r="CA77" s="185"/>
      <c r="CB77" s="130">
        <v>1</v>
      </c>
      <c r="CC77" s="130">
        <v>0</v>
      </c>
      <c r="CD77" s="130">
        <v>164</v>
      </c>
      <c r="CE77" s="130">
        <v>1</v>
      </c>
      <c r="CF77" s="133">
        <v>164</v>
      </c>
      <c r="CG77" s="134">
        <v>1</v>
      </c>
    </row>
    <row r="78" spans="1:85" x14ac:dyDescent="0.25">
      <c r="A78" s="14">
        <v>64</v>
      </c>
      <c r="B78" s="2" t="s">
        <v>67</v>
      </c>
      <c r="C78" s="22"/>
      <c r="D78" s="183"/>
      <c r="E78" s="16">
        <v>95</v>
      </c>
      <c r="F78" s="16"/>
      <c r="G78" s="17"/>
      <c r="H78" s="17">
        <v>-1</v>
      </c>
      <c r="I78" s="17"/>
      <c r="J78" s="17"/>
      <c r="K78" s="136">
        <v>-2</v>
      </c>
      <c r="L78" s="136"/>
      <c r="M78" s="136"/>
      <c r="N78" s="136"/>
      <c r="O78" s="136"/>
      <c r="P78" s="136">
        <v>-4</v>
      </c>
      <c r="Q78" s="183"/>
      <c r="R78" s="183"/>
      <c r="S78" s="183"/>
      <c r="T78" s="183"/>
      <c r="U78" s="183"/>
      <c r="V78" s="183"/>
      <c r="W78" s="183">
        <v>-2</v>
      </c>
      <c r="X78" s="18">
        <v>99</v>
      </c>
      <c r="Y78" s="18"/>
      <c r="Z78" s="19">
        <v>9</v>
      </c>
      <c r="AA78" s="19">
        <v>7</v>
      </c>
      <c r="AB78" s="19">
        <v>5</v>
      </c>
      <c r="AC78" s="19"/>
      <c r="AD78" s="130">
        <v>1</v>
      </c>
      <c r="AE78" s="130">
        <v>3</v>
      </c>
      <c r="AF78" s="130">
        <v>5</v>
      </c>
      <c r="AG78" s="130">
        <v>2</v>
      </c>
      <c r="AH78" s="185">
        <v>8</v>
      </c>
      <c r="AI78" s="185">
        <v>20</v>
      </c>
      <c r="AJ78" s="185">
        <v>3</v>
      </c>
      <c r="AK78" s="185">
        <v>11</v>
      </c>
      <c r="AL78" s="185"/>
      <c r="AM78" s="185">
        <v>2</v>
      </c>
      <c r="AN78" s="185">
        <v>7</v>
      </c>
      <c r="AO78" s="185">
        <v>2</v>
      </c>
      <c r="AP78" s="185"/>
      <c r="AQ78" s="185">
        <v>2</v>
      </c>
      <c r="AR78" s="169">
        <v>5</v>
      </c>
      <c r="AS78" s="185">
        <v>3</v>
      </c>
      <c r="AT78" s="169">
        <v>1</v>
      </c>
      <c r="AU78" s="185">
        <v>1</v>
      </c>
      <c r="AV78" s="185">
        <v>6</v>
      </c>
      <c r="AW78" s="185">
        <v>1</v>
      </c>
      <c r="AX78" s="132">
        <v>1</v>
      </c>
      <c r="AY78" s="185">
        <v>195</v>
      </c>
      <c r="AZ78" s="131">
        <v>1</v>
      </c>
      <c r="BA78" s="131">
        <v>2</v>
      </c>
      <c r="BB78" s="130"/>
      <c r="BC78" s="130"/>
      <c r="BD78" s="130"/>
      <c r="BE78" s="130">
        <v>1</v>
      </c>
      <c r="BF78" s="130"/>
      <c r="BG78" s="130">
        <v>1</v>
      </c>
      <c r="BH78" s="130"/>
      <c r="BI78" s="130"/>
      <c r="BJ78" s="185"/>
      <c r="BK78" s="185"/>
      <c r="BL78" s="185"/>
      <c r="BM78" s="185">
        <v>1</v>
      </c>
      <c r="BN78" s="185"/>
      <c r="BO78" s="185"/>
      <c r="BP78" s="185"/>
      <c r="BQ78" s="185"/>
      <c r="BR78" s="185"/>
      <c r="BS78" s="185"/>
      <c r="BT78" s="185"/>
      <c r="BU78" s="185"/>
      <c r="BV78" s="185"/>
      <c r="BW78" s="185"/>
      <c r="BX78" s="185"/>
      <c r="BY78" s="185"/>
      <c r="BZ78" s="132"/>
      <c r="CA78" s="185"/>
      <c r="CB78" s="130">
        <v>5</v>
      </c>
      <c r="CC78" s="130">
        <v>0</v>
      </c>
      <c r="CD78" s="130">
        <v>200</v>
      </c>
      <c r="CE78" s="130">
        <v>1</v>
      </c>
      <c r="CF78" s="133">
        <v>196</v>
      </c>
      <c r="CG78" s="134">
        <v>5</v>
      </c>
    </row>
    <row r="79" spans="1:85" x14ac:dyDescent="0.25">
      <c r="A79" s="14">
        <v>65</v>
      </c>
      <c r="B79" s="2" t="s">
        <v>68</v>
      </c>
      <c r="C79" s="22"/>
      <c r="D79" s="183"/>
      <c r="E79" s="16">
        <v>9</v>
      </c>
      <c r="F79" s="16"/>
      <c r="G79" s="17"/>
      <c r="H79" s="17"/>
      <c r="I79" s="17"/>
      <c r="J79" s="17"/>
      <c r="K79" s="136"/>
      <c r="L79" s="136">
        <v>-1</v>
      </c>
      <c r="M79" s="136"/>
      <c r="N79" s="136"/>
      <c r="O79" s="136"/>
      <c r="P79" s="136">
        <v>-1</v>
      </c>
      <c r="Q79" s="183"/>
      <c r="R79" s="183"/>
      <c r="S79" s="183"/>
      <c r="T79" s="183"/>
      <c r="U79" s="183"/>
      <c r="V79" s="183">
        <v>-1</v>
      </c>
      <c r="W79" s="183"/>
      <c r="X79" s="18">
        <v>8</v>
      </c>
      <c r="Y79" s="18"/>
      <c r="Z79" s="19">
        <v>3</v>
      </c>
      <c r="AA79" s="19">
        <v>12</v>
      </c>
      <c r="AB79" s="19">
        <v>2</v>
      </c>
      <c r="AC79" s="19"/>
      <c r="AD79" s="130"/>
      <c r="AE79" s="130">
        <v>8</v>
      </c>
      <c r="AF79" s="130"/>
      <c r="AG79" s="130">
        <v>3</v>
      </c>
      <c r="AH79" s="185">
        <v>3</v>
      </c>
      <c r="AI79" s="185">
        <v>29</v>
      </c>
      <c r="AJ79" s="185">
        <v>1</v>
      </c>
      <c r="AK79" s="185">
        <v>3</v>
      </c>
      <c r="AL79" s="185"/>
      <c r="AM79" s="185">
        <v>2</v>
      </c>
      <c r="AN79" s="185"/>
      <c r="AO79" s="185"/>
      <c r="AP79" s="185">
        <v>1</v>
      </c>
      <c r="AQ79" s="185"/>
      <c r="AR79" s="185"/>
      <c r="AS79" s="185">
        <v>1</v>
      </c>
      <c r="AT79" s="169"/>
      <c r="AU79" s="225">
        <v>1</v>
      </c>
      <c r="AV79" s="185">
        <v>0</v>
      </c>
      <c r="AW79" s="185"/>
      <c r="AX79" s="132">
        <v>0</v>
      </c>
      <c r="AY79" s="185">
        <v>74</v>
      </c>
      <c r="AZ79" s="131">
        <v>1</v>
      </c>
      <c r="BA79" s="131">
        <v>1</v>
      </c>
      <c r="BB79" s="130"/>
      <c r="BC79" s="130"/>
      <c r="BD79" s="130">
        <v>-1</v>
      </c>
      <c r="BE79" s="130"/>
      <c r="BF79" s="130"/>
      <c r="BG79" s="130"/>
      <c r="BH79" s="130"/>
      <c r="BI79" s="130"/>
      <c r="BJ79" s="185"/>
      <c r="BK79" s="185">
        <v>2</v>
      </c>
      <c r="BL79" s="185">
        <v>1</v>
      </c>
      <c r="BM79" s="185">
        <v>1</v>
      </c>
      <c r="BN79" s="185"/>
      <c r="BO79" s="185"/>
      <c r="BP79" s="185"/>
      <c r="BQ79" s="185"/>
      <c r="BR79" s="185"/>
      <c r="BS79" s="185"/>
      <c r="BT79" s="185"/>
      <c r="BU79" s="185">
        <v>2</v>
      </c>
      <c r="BV79" s="185"/>
      <c r="BW79" s="225"/>
      <c r="BX79" s="185"/>
      <c r="BY79" s="185"/>
      <c r="BZ79" s="132"/>
      <c r="CA79" s="185"/>
      <c r="CB79" s="130">
        <v>6</v>
      </c>
      <c r="CC79" s="130">
        <v>0</v>
      </c>
      <c r="CD79" s="130">
        <v>80</v>
      </c>
      <c r="CE79" s="130">
        <v>1</v>
      </c>
      <c r="CF79" s="133">
        <v>75</v>
      </c>
      <c r="CG79" s="134">
        <v>6</v>
      </c>
    </row>
    <row r="80" spans="1:85" x14ac:dyDescent="0.25">
      <c r="A80" s="14">
        <v>67</v>
      </c>
      <c r="B80" s="2" t="s">
        <v>70</v>
      </c>
      <c r="C80" s="22"/>
      <c r="D80" s="183"/>
      <c r="E80" s="16">
        <v>125</v>
      </c>
      <c r="F80" s="16"/>
      <c r="G80" s="17">
        <v>-3</v>
      </c>
      <c r="H80" s="17">
        <v>-5</v>
      </c>
      <c r="I80" s="17"/>
      <c r="J80" s="17">
        <v>-3</v>
      </c>
      <c r="K80" s="136">
        <v>-2</v>
      </c>
      <c r="L80" s="136"/>
      <c r="M80" s="136"/>
      <c r="N80" s="136"/>
      <c r="O80" s="136"/>
      <c r="P80" s="136"/>
      <c r="Q80" s="183">
        <v>-3</v>
      </c>
      <c r="R80" s="183"/>
      <c r="S80" s="183">
        <v>-4</v>
      </c>
      <c r="T80" s="183">
        <v>-2</v>
      </c>
      <c r="U80" s="183">
        <v>-2</v>
      </c>
      <c r="V80" s="183"/>
      <c r="W80" s="183"/>
      <c r="X80" s="18">
        <v>126</v>
      </c>
      <c r="Y80" s="18">
        <v>10</v>
      </c>
      <c r="Z80" s="19">
        <v>8</v>
      </c>
      <c r="AA80" s="19">
        <v>34</v>
      </c>
      <c r="AB80" s="19">
        <v>60</v>
      </c>
      <c r="AC80" s="19">
        <v>3</v>
      </c>
      <c r="AD80" s="130">
        <v>19</v>
      </c>
      <c r="AE80" s="130">
        <v>21</v>
      </c>
      <c r="AF80" s="130">
        <v>4</v>
      </c>
      <c r="AG80" s="130">
        <v>3</v>
      </c>
      <c r="AH80" s="185">
        <v>12</v>
      </c>
      <c r="AI80" s="185">
        <v>6</v>
      </c>
      <c r="AJ80" s="185">
        <v>17</v>
      </c>
      <c r="AK80" s="185">
        <v>3</v>
      </c>
      <c r="AL80" s="185">
        <v>59</v>
      </c>
      <c r="AM80" s="185">
        <v>1</v>
      </c>
      <c r="AN80" s="185">
        <v>4</v>
      </c>
      <c r="AO80" s="185">
        <v>12</v>
      </c>
      <c r="AP80" s="185">
        <v>8</v>
      </c>
      <c r="AQ80" s="185">
        <v>1</v>
      </c>
      <c r="AR80" s="185">
        <v>2</v>
      </c>
      <c r="AS80" s="185">
        <v>1</v>
      </c>
      <c r="AT80" s="185">
        <v>0</v>
      </c>
      <c r="AU80" s="185">
        <v>1</v>
      </c>
      <c r="AV80" s="185">
        <v>3</v>
      </c>
      <c r="AW80" s="185">
        <v>1</v>
      </c>
      <c r="AX80" s="132">
        <v>4</v>
      </c>
      <c r="AY80" s="185">
        <v>399</v>
      </c>
      <c r="AZ80" s="131">
        <v>1</v>
      </c>
      <c r="BA80" s="131">
        <v>1</v>
      </c>
      <c r="BB80" s="130">
        <v>1</v>
      </c>
      <c r="BC80" s="130"/>
      <c r="BD80" s="130"/>
      <c r="BE80" s="130">
        <v>3</v>
      </c>
      <c r="BF80" s="130"/>
      <c r="BG80" s="130"/>
      <c r="BH80" s="130"/>
      <c r="BI80" s="130"/>
      <c r="BJ80" s="185">
        <v>1</v>
      </c>
      <c r="BK80" s="185"/>
      <c r="BL80" s="185"/>
      <c r="BM80" s="185"/>
      <c r="BN80" s="185"/>
      <c r="BO80" s="185"/>
      <c r="BP80" s="185">
        <v>1</v>
      </c>
      <c r="BQ80" s="185"/>
      <c r="BR80" s="185"/>
      <c r="BS80" s="185"/>
      <c r="BT80" s="185"/>
      <c r="BU80" s="185"/>
      <c r="BV80" s="185"/>
      <c r="BW80" s="185"/>
      <c r="BX80" s="185"/>
      <c r="BY80" s="185"/>
      <c r="BZ80" s="132"/>
      <c r="CA80" s="185"/>
      <c r="CB80" s="130">
        <v>7</v>
      </c>
      <c r="CC80" s="130">
        <v>0</v>
      </c>
      <c r="CD80" s="130">
        <v>406</v>
      </c>
      <c r="CE80" s="130">
        <v>1</v>
      </c>
      <c r="CF80" s="133">
        <v>400</v>
      </c>
      <c r="CG80" s="134">
        <v>7</v>
      </c>
    </row>
    <row r="81" spans="1:85" x14ac:dyDescent="0.25">
      <c r="A81" s="14">
        <v>71</v>
      </c>
      <c r="B81" s="2" t="s">
        <v>74</v>
      </c>
      <c r="C81" s="22"/>
      <c r="D81" s="183">
        <v>-5</v>
      </c>
      <c r="E81" s="16">
        <v>28</v>
      </c>
      <c r="F81" s="16"/>
      <c r="G81" s="17">
        <v>-2</v>
      </c>
      <c r="H81" s="17"/>
      <c r="I81" s="17">
        <v>-1</v>
      </c>
      <c r="J81" s="17">
        <v>-1</v>
      </c>
      <c r="K81" s="136">
        <v>-1</v>
      </c>
      <c r="L81" s="136">
        <v>-1</v>
      </c>
      <c r="M81" s="136"/>
      <c r="N81" s="136"/>
      <c r="O81" s="136"/>
      <c r="P81" s="136"/>
      <c r="Q81" s="183"/>
      <c r="R81" s="183">
        <v>-2</v>
      </c>
      <c r="S81" s="183">
        <v>-2</v>
      </c>
      <c r="T81" s="183"/>
      <c r="U81" s="183"/>
      <c r="V81" s="183"/>
      <c r="W81" s="183">
        <v>-1</v>
      </c>
      <c r="X81" s="18">
        <v>29</v>
      </c>
      <c r="Y81" s="18">
        <v>4</v>
      </c>
      <c r="Z81" s="19">
        <v>8</v>
      </c>
      <c r="AA81" s="19">
        <v>4</v>
      </c>
      <c r="AB81" s="19">
        <v>16</v>
      </c>
      <c r="AC81" s="19">
        <v>8</v>
      </c>
      <c r="AD81" s="130">
        <v>18</v>
      </c>
      <c r="AE81" s="130">
        <v>4</v>
      </c>
      <c r="AF81" s="130">
        <v>7</v>
      </c>
      <c r="AG81" s="130">
        <v>8</v>
      </c>
      <c r="AH81" s="185">
        <v>1</v>
      </c>
      <c r="AI81" s="185">
        <v>9</v>
      </c>
      <c r="AJ81" s="185">
        <v>5</v>
      </c>
      <c r="AK81" s="185">
        <v>26</v>
      </c>
      <c r="AL81" s="185">
        <v>9</v>
      </c>
      <c r="AM81" s="185">
        <v>4</v>
      </c>
      <c r="AN81" s="185">
        <v>7</v>
      </c>
      <c r="AO81" s="185"/>
      <c r="AP81" s="185">
        <v>3</v>
      </c>
      <c r="AQ81" s="185">
        <v>32</v>
      </c>
      <c r="AR81" s="227">
        <v>6</v>
      </c>
      <c r="AS81" s="185">
        <v>1</v>
      </c>
      <c r="AT81" s="185">
        <v>6</v>
      </c>
      <c r="AU81" s="169">
        <v>4</v>
      </c>
      <c r="AV81" s="185">
        <v>3</v>
      </c>
      <c r="AW81" s="185">
        <v>2</v>
      </c>
      <c r="AX81" s="132">
        <v>-1</v>
      </c>
      <c r="AY81" s="185">
        <v>212</v>
      </c>
      <c r="AZ81" s="131">
        <v>1</v>
      </c>
      <c r="BA81" s="131">
        <v>2</v>
      </c>
      <c r="BB81" s="130"/>
      <c r="BC81" s="130"/>
      <c r="BD81" s="130"/>
      <c r="BE81" s="130">
        <v>1</v>
      </c>
      <c r="BF81" s="130">
        <v>1</v>
      </c>
      <c r="BG81" s="130"/>
      <c r="BH81" s="130"/>
      <c r="BI81" s="130"/>
      <c r="BJ81" s="185"/>
      <c r="BK81" s="185"/>
      <c r="BL81" s="185"/>
      <c r="BM81" s="185"/>
      <c r="BN81" s="185">
        <v>1</v>
      </c>
      <c r="BO81" s="185"/>
      <c r="BP81" s="185"/>
      <c r="BQ81" s="185"/>
      <c r="BR81" s="185"/>
      <c r="BS81" s="185"/>
      <c r="BT81" s="227"/>
      <c r="BU81" s="185"/>
      <c r="BV81" s="185"/>
      <c r="BW81" s="185"/>
      <c r="BX81" s="185"/>
      <c r="BY81" s="185"/>
      <c r="BZ81" s="132"/>
      <c r="CA81" s="185"/>
      <c r="CB81" s="130">
        <v>5</v>
      </c>
      <c r="CC81" s="130">
        <v>0</v>
      </c>
      <c r="CD81" s="130">
        <v>217</v>
      </c>
      <c r="CE81" s="130">
        <v>1</v>
      </c>
      <c r="CF81" s="133">
        <v>208</v>
      </c>
      <c r="CG81" s="135">
        <v>5</v>
      </c>
    </row>
    <row r="82" spans="1:85" x14ac:dyDescent="0.25">
      <c r="A82" s="14">
        <v>74</v>
      </c>
      <c r="B82" s="2" t="s">
        <v>77</v>
      </c>
      <c r="C82" s="15"/>
      <c r="D82" s="183"/>
      <c r="E82" s="16">
        <v>87</v>
      </c>
      <c r="F82" s="16"/>
      <c r="G82" s="17">
        <v>-1</v>
      </c>
      <c r="H82" s="17">
        <v>-1</v>
      </c>
      <c r="I82" s="17">
        <v>-4</v>
      </c>
      <c r="J82" s="17"/>
      <c r="K82" s="136">
        <v>-2</v>
      </c>
      <c r="L82" s="136">
        <v>-10</v>
      </c>
      <c r="M82" s="136">
        <v>-1</v>
      </c>
      <c r="N82" s="136"/>
      <c r="O82" s="136">
        <v>-2</v>
      </c>
      <c r="P82" s="136">
        <v>-1</v>
      </c>
      <c r="Q82" s="183"/>
      <c r="R82" s="183">
        <v>-1</v>
      </c>
      <c r="S82" s="183">
        <v>-2</v>
      </c>
      <c r="T82" s="183">
        <v>-1</v>
      </c>
      <c r="U82" s="183">
        <v>-6</v>
      </c>
      <c r="V82" s="183"/>
      <c r="W82" s="183"/>
      <c r="X82" s="18">
        <v>104</v>
      </c>
      <c r="Y82" s="18">
        <v>1</v>
      </c>
      <c r="Z82" s="19">
        <v>5</v>
      </c>
      <c r="AA82" s="19">
        <v>11</v>
      </c>
      <c r="AB82" s="19">
        <v>7</v>
      </c>
      <c r="AC82" s="19">
        <v>2</v>
      </c>
      <c r="AD82" s="130">
        <v>25</v>
      </c>
      <c r="AE82" s="130">
        <v>23</v>
      </c>
      <c r="AF82" s="130">
        <v>6</v>
      </c>
      <c r="AG82" s="130">
        <v>2</v>
      </c>
      <c r="AH82" s="185">
        <v>15</v>
      </c>
      <c r="AI82" s="185">
        <v>14</v>
      </c>
      <c r="AJ82" s="185">
        <v>15</v>
      </c>
      <c r="AK82" s="185">
        <v>31</v>
      </c>
      <c r="AL82" s="185">
        <v>5</v>
      </c>
      <c r="AM82" s="185">
        <v>9</v>
      </c>
      <c r="AN82" s="169">
        <v>1</v>
      </c>
      <c r="AO82" s="185">
        <v>6</v>
      </c>
      <c r="AP82" s="185">
        <v>1</v>
      </c>
      <c r="AQ82" s="185">
        <v>1</v>
      </c>
      <c r="AR82" s="185">
        <v>3</v>
      </c>
      <c r="AS82" s="185">
        <v>1</v>
      </c>
      <c r="AT82" s="185"/>
      <c r="AU82" s="185">
        <v>1</v>
      </c>
      <c r="AV82" s="185">
        <v>5</v>
      </c>
      <c r="AW82" s="169">
        <v>4</v>
      </c>
      <c r="AX82" s="132">
        <v>0</v>
      </c>
      <c r="AY82" s="185">
        <v>266</v>
      </c>
      <c r="AZ82" s="131">
        <v>1</v>
      </c>
      <c r="BA82" s="131"/>
      <c r="BB82" s="130"/>
      <c r="BC82" s="130"/>
      <c r="BD82" s="130"/>
      <c r="BE82" s="130"/>
      <c r="BF82" s="130">
        <v>1</v>
      </c>
      <c r="BG82" s="130"/>
      <c r="BH82" s="130">
        <v>1</v>
      </c>
      <c r="BI82" s="130">
        <v>1</v>
      </c>
      <c r="BJ82" s="185"/>
      <c r="BK82" s="185"/>
      <c r="BL82" s="185"/>
      <c r="BM82" s="185"/>
      <c r="BN82" s="185"/>
      <c r="BO82" s="185">
        <v>1</v>
      </c>
      <c r="BP82" s="185"/>
      <c r="BQ82" s="185"/>
      <c r="BR82" s="185"/>
      <c r="BS82" s="185"/>
      <c r="BT82" s="185"/>
      <c r="BU82" s="185"/>
      <c r="BV82" s="185"/>
      <c r="BW82" s="185"/>
      <c r="BX82" s="185">
        <v>1</v>
      </c>
      <c r="BY82" s="185"/>
      <c r="BZ82" s="132"/>
      <c r="CA82" s="185"/>
      <c r="CB82" s="130">
        <v>5</v>
      </c>
      <c r="CC82" s="130">
        <v>0</v>
      </c>
      <c r="CD82" s="130">
        <v>271</v>
      </c>
      <c r="CE82" s="130">
        <v>1</v>
      </c>
      <c r="CF82" s="133">
        <v>267</v>
      </c>
      <c r="CG82" s="134">
        <v>5</v>
      </c>
    </row>
    <row r="83" spans="1:85" x14ac:dyDescent="0.25">
      <c r="A83" s="14">
        <v>77</v>
      </c>
      <c r="B83" s="2" t="s">
        <v>80</v>
      </c>
      <c r="C83" s="15"/>
      <c r="D83" s="183"/>
      <c r="E83" s="16">
        <v>73</v>
      </c>
      <c r="F83" s="16">
        <v>-4</v>
      </c>
      <c r="G83" s="17"/>
      <c r="H83" s="17"/>
      <c r="I83" s="17">
        <v>-3</v>
      </c>
      <c r="J83" s="17"/>
      <c r="K83" s="136"/>
      <c r="L83" s="136"/>
      <c r="M83" s="136"/>
      <c r="N83" s="136">
        <v>-1</v>
      </c>
      <c r="O83" s="136"/>
      <c r="P83" s="136">
        <v>-4</v>
      </c>
      <c r="Q83" s="183"/>
      <c r="R83" s="183">
        <v>-1</v>
      </c>
      <c r="S83" s="183"/>
      <c r="T83" s="183"/>
      <c r="U83" s="183"/>
      <c r="V83" s="183"/>
      <c r="W83" s="183"/>
      <c r="X83" s="18">
        <v>73</v>
      </c>
      <c r="Y83" s="18">
        <v>2</v>
      </c>
      <c r="Z83" s="19">
        <v>5</v>
      </c>
      <c r="AA83" s="19">
        <v>13</v>
      </c>
      <c r="AB83" s="19">
        <v>12</v>
      </c>
      <c r="AC83" s="19">
        <v>24</v>
      </c>
      <c r="AD83" s="130">
        <v>122</v>
      </c>
      <c r="AE83" s="130">
        <v>33</v>
      </c>
      <c r="AF83" s="130">
        <v>111</v>
      </c>
      <c r="AG83" s="130">
        <v>34</v>
      </c>
      <c r="AH83" s="185">
        <v>15</v>
      </c>
      <c r="AI83" s="185">
        <v>20</v>
      </c>
      <c r="AJ83" s="185">
        <v>7</v>
      </c>
      <c r="AK83" s="185">
        <v>1</v>
      </c>
      <c r="AL83" s="185">
        <v>6</v>
      </c>
      <c r="AM83" s="185">
        <v>7</v>
      </c>
      <c r="AN83" s="185">
        <v>4</v>
      </c>
      <c r="AO83" s="185">
        <v>5</v>
      </c>
      <c r="AP83" s="185">
        <v>1</v>
      </c>
      <c r="AQ83" s="185">
        <v>1</v>
      </c>
      <c r="AR83" s="169">
        <v>7</v>
      </c>
      <c r="AS83" s="185">
        <v>9</v>
      </c>
      <c r="AT83" s="185">
        <v>33</v>
      </c>
      <c r="AU83" s="169">
        <v>1</v>
      </c>
      <c r="AV83" s="185">
        <v>3</v>
      </c>
      <c r="AW83" s="185">
        <v>4</v>
      </c>
      <c r="AX83" s="132">
        <v>1</v>
      </c>
      <c r="AY83" s="185">
        <v>541</v>
      </c>
      <c r="AZ83" s="131">
        <v>1</v>
      </c>
      <c r="BA83" s="131">
        <v>4</v>
      </c>
      <c r="BB83" s="130"/>
      <c r="BC83" s="130">
        <v>-1</v>
      </c>
      <c r="BD83" s="130">
        <v>-1</v>
      </c>
      <c r="BE83" s="130"/>
      <c r="BF83" s="130"/>
      <c r="BG83" s="130"/>
      <c r="BH83" s="130"/>
      <c r="BI83" s="130"/>
      <c r="BJ83" s="185"/>
      <c r="BK83" s="185"/>
      <c r="BL83" s="185">
        <v>3</v>
      </c>
      <c r="BM83" s="185">
        <v>2</v>
      </c>
      <c r="BN83" s="185">
        <v>1</v>
      </c>
      <c r="BO83" s="185">
        <v>1</v>
      </c>
      <c r="BP83" s="185">
        <v>1</v>
      </c>
      <c r="BQ83" s="185"/>
      <c r="BR83" s="185">
        <v>1</v>
      </c>
      <c r="BS83" s="185"/>
      <c r="BT83" s="185"/>
      <c r="BU83" s="185"/>
      <c r="BV83" s="185"/>
      <c r="BW83" s="185"/>
      <c r="BX83" s="185"/>
      <c r="BY83" s="185"/>
      <c r="BZ83" s="132"/>
      <c r="CA83" s="185"/>
      <c r="CB83" s="130">
        <v>11</v>
      </c>
      <c r="CC83" s="130">
        <v>0</v>
      </c>
      <c r="CD83" s="130">
        <v>552</v>
      </c>
      <c r="CE83" s="130">
        <v>1</v>
      </c>
      <c r="CF83" s="133">
        <v>542</v>
      </c>
      <c r="CG83" s="134">
        <v>11</v>
      </c>
    </row>
    <row r="84" spans="1:85" x14ac:dyDescent="0.25">
      <c r="A84" s="14">
        <v>82</v>
      </c>
      <c r="B84" s="2" t="s">
        <v>85</v>
      </c>
      <c r="C84" s="15"/>
      <c r="D84" s="183">
        <v>-1</v>
      </c>
      <c r="E84" s="16">
        <v>23</v>
      </c>
      <c r="F84" s="16"/>
      <c r="G84" s="17"/>
      <c r="H84" s="17"/>
      <c r="I84" s="17">
        <v>-3</v>
      </c>
      <c r="J84" s="17"/>
      <c r="K84" s="136"/>
      <c r="L84" s="136"/>
      <c r="M84" s="136"/>
      <c r="N84" s="136"/>
      <c r="O84" s="136"/>
      <c r="P84" s="136"/>
      <c r="Q84" s="183"/>
      <c r="R84" s="183"/>
      <c r="S84" s="183"/>
      <c r="T84" s="183"/>
      <c r="U84" s="183"/>
      <c r="V84" s="183"/>
      <c r="W84" s="183"/>
      <c r="X84" s="18">
        <v>24</v>
      </c>
      <c r="Y84" s="18"/>
      <c r="Z84" s="19"/>
      <c r="AA84" s="19">
        <v>6</v>
      </c>
      <c r="AB84" s="19">
        <v>15</v>
      </c>
      <c r="AC84" s="19">
        <v>1</v>
      </c>
      <c r="AD84" s="130"/>
      <c r="AE84" s="130">
        <v>2</v>
      </c>
      <c r="AF84" s="130">
        <v>1</v>
      </c>
      <c r="AG84" s="130">
        <v>4</v>
      </c>
      <c r="AH84" s="185">
        <v>4</v>
      </c>
      <c r="AI84" s="185"/>
      <c r="AJ84" s="185">
        <v>3</v>
      </c>
      <c r="AK84" s="185">
        <v>3</v>
      </c>
      <c r="AL84" s="185">
        <v>1</v>
      </c>
      <c r="AM84" s="185"/>
      <c r="AN84" s="185"/>
      <c r="AO84" s="185"/>
      <c r="AP84" s="185">
        <v>1</v>
      </c>
      <c r="AQ84" s="185">
        <v>1</v>
      </c>
      <c r="AR84" s="169">
        <v>4</v>
      </c>
      <c r="AS84" s="169">
        <v>5</v>
      </c>
      <c r="AT84" s="185">
        <v>1</v>
      </c>
      <c r="AU84" s="169"/>
      <c r="AV84" s="169"/>
      <c r="AW84" s="185"/>
      <c r="AX84" s="132">
        <v>0</v>
      </c>
      <c r="AY84" s="185">
        <v>73</v>
      </c>
      <c r="AZ84" s="131">
        <v>1</v>
      </c>
      <c r="BA84" s="131"/>
      <c r="BB84" s="130"/>
      <c r="BC84" s="130"/>
      <c r="BD84" s="130"/>
      <c r="BE84" s="130"/>
      <c r="BF84" s="130"/>
      <c r="BG84" s="130"/>
      <c r="BH84" s="130"/>
      <c r="BI84" s="130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32"/>
      <c r="CA84" s="185"/>
      <c r="CB84" s="130">
        <v>0</v>
      </c>
      <c r="CC84" s="130">
        <v>0</v>
      </c>
      <c r="CD84" s="130">
        <v>73</v>
      </c>
      <c r="CE84" s="130">
        <v>1</v>
      </c>
      <c r="CF84" s="133">
        <v>73</v>
      </c>
      <c r="CG84" s="134">
        <v>0</v>
      </c>
    </row>
    <row r="85" spans="1:85" x14ac:dyDescent="0.25">
      <c r="A85" s="14">
        <v>85</v>
      </c>
      <c r="B85" s="2" t="s">
        <v>88</v>
      </c>
      <c r="C85" s="22"/>
      <c r="D85" s="183"/>
      <c r="E85" s="16">
        <v>100</v>
      </c>
      <c r="F85" s="16"/>
      <c r="G85" s="17"/>
      <c r="H85" s="17"/>
      <c r="I85" s="17"/>
      <c r="J85" s="17"/>
      <c r="K85" s="136">
        <v>-1</v>
      </c>
      <c r="L85" s="136"/>
      <c r="M85" s="136"/>
      <c r="N85" s="136"/>
      <c r="O85" s="136">
        <v>-2</v>
      </c>
      <c r="P85" s="136"/>
      <c r="Q85" s="183"/>
      <c r="R85" s="183"/>
      <c r="S85" s="183"/>
      <c r="T85" s="183"/>
      <c r="U85" s="183"/>
      <c r="V85" s="183"/>
      <c r="W85" s="183"/>
      <c r="X85" s="18">
        <v>101</v>
      </c>
      <c r="Y85" s="18">
        <v>7</v>
      </c>
      <c r="Z85" s="19">
        <v>3</v>
      </c>
      <c r="AA85" s="19">
        <v>8</v>
      </c>
      <c r="AB85" s="19">
        <v>1</v>
      </c>
      <c r="AC85" s="130">
        <v>41</v>
      </c>
      <c r="AD85" s="130">
        <v>14</v>
      </c>
      <c r="AE85" s="130">
        <v>68</v>
      </c>
      <c r="AF85" s="130">
        <v>14</v>
      </c>
      <c r="AG85" s="130">
        <v>5</v>
      </c>
      <c r="AH85" s="185">
        <v>15</v>
      </c>
      <c r="AI85" s="185">
        <v>1</v>
      </c>
      <c r="AJ85" s="185">
        <v>8</v>
      </c>
      <c r="AK85" s="185">
        <v>5</v>
      </c>
      <c r="AL85" s="185">
        <v>2</v>
      </c>
      <c r="AM85" s="185">
        <v>2</v>
      </c>
      <c r="AN85" s="169">
        <v>2</v>
      </c>
      <c r="AO85" s="185">
        <v>5</v>
      </c>
      <c r="AP85" s="185">
        <v>3</v>
      </c>
      <c r="AQ85" s="185">
        <v>3</v>
      </c>
      <c r="AR85" s="185">
        <v>10</v>
      </c>
      <c r="AS85" s="185">
        <v>2</v>
      </c>
      <c r="AT85" s="185"/>
      <c r="AU85" s="185">
        <v>1</v>
      </c>
      <c r="AV85" s="185">
        <v>6</v>
      </c>
      <c r="AW85" s="185">
        <v>5</v>
      </c>
      <c r="AX85" s="132">
        <v>4</v>
      </c>
      <c r="AY85" s="185">
        <v>333</v>
      </c>
      <c r="AZ85" s="131">
        <v>1</v>
      </c>
      <c r="BA85" s="131">
        <v>2</v>
      </c>
      <c r="BB85" s="130"/>
      <c r="BC85" s="130"/>
      <c r="BD85" s="130">
        <v>-1</v>
      </c>
      <c r="BE85" s="130"/>
      <c r="BF85" s="130"/>
      <c r="BG85" s="130"/>
      <c r="BH85" s="130"/>
      <c r="BI85" s="130"/>
      <c r="BJ85" s="185">
        <v>1</v>
      </c>
      <c r="BK85" s="185">
        <v>1</v>
      </c>
      <c r="BL85" s="185">
        <v>1</v>
      </c>
      <c r="BM85" s="185"/>
      <c r="BN85" s="185"/>
      <c r="BO85" s="185"/>
      <c r="BP85" s="185">
        <v>1</v>
      </c>
      <c r="BQ85" s="185"/>
      <c r="BR85" s="185"/>
      <c r="BS85" s="185"/>
      <c r="BT85" s="185"/>
      <c r="BU85" s="185"/>
      <c r="BV85" s="185"/>
      <c r="BW85" s="185"/>
      <c r="BX85" s="185"/>
      <c r="BY85" s="185"/>
      <c r="BZ85" s="132"/>
      <c r="CA85" s="185"/>
      <c r="CB85" s="130">
        <v>5</v>
      </c>
      <c r="CC85" s="130">
        <v>0</v>
      </c>
      <c r="CD85" s="130">
        <v>338</v>
      </c>
      <c r="CE85" s="130">
        <v>1</v>
      </c>
      <c r="CF85" s="133">
        <v>334</v>
      </c>
      <c r="CG85" s="134">
        <v>5</v>
      </c>
    </row>
    <row r="86" spans="1:85" x14ac:dyDescent="0.25">
      <c r="A86" s="14">
        <v>87</v>
      </c>
      <c r="B86" s="2" t="s">
        <v>90</v>
      </c>
      <c r="C86" s="22"/>
      <c r="D86" s="183"/>
      <c r="E86" s="16">
        <v>30</v>
      </c>
      <c r="F86" s="16"/>
      <c r="G86" s="17"/>
      <c r="H86" s="17"/>
      <c r="I86" s="17"/>
      <c r="J86" s="17"/>
      <c r="K86" s="136"/>
      <c r="L86" s="136"/>
      <c r="M86" s="136"/>
      <c r="N86" s="136"/>
      <c r="O86" s="136"/>
      <c r="P86" s="136"/>
      <c r="Q86" s="183"/>
      <c r="R86" s="183"/>
      <c r="S86" s="183">
        <v>-2</v>
      </c>
      <c r="T86" s="183">
        <v>-4</v>
      </c>
      <c r="U86" s="183"/>
      <c r="V86" s="183"/>
      <c r="W86" s="183"/>
      <c r="X86" s="18">
        <v>30</v>
      </c>
      <c r="Y86" s="18">
        <v>1</v>
      </c>
      <c r="Z86" s="19"/>
      <c r="AA86" s="19"/>
      <c r="AB86" s="19"/>
      <c r="AC86" s="19">
        <v>5</v>
      </c>
      <c r="AD86" s="130">
        <v>1</v>
      </c>
      <c r="AE86" s="130">
        <v>3</v>
      </c>
      <c r="AF86" s="130">
        <v>1</v>
      </c>
      <c r="AG86" s="130">
        <v>1</v>
      </c>
      <c r="AH86" s="185">
        <v>6</v>
      </c>
      <c r="AI86" s="185"/>
      <c r="AJ86" s="185"/>
      <c r="AK86" s="185">
        <v>1</v>
      </c>
      <c r="AL86" s="185">
        <v>3</v>
      </c>
      <c r="AM86" s="185">
        <v>3</v>
      </c>
      <c r="AN86" s="185">
        <v>1</v>
      </c>
      <c r="AO86" s="185">
        <v>5</v>
      </c>
      <c r="AP86" s="185"/>
      <c r="AQ86" s="185">
        <v>1</v>
      </c>
      <c r="AR86" s="185">
        <v>2</v>
      </c>
      <c r="AS86" s="185"/>
      <c r="AT86" s="185">
        <v>3</v>
      </c>
      <c r="AU86" s="227">
        <v>1</v>
      </c>
      <c r="AV86" s="185"/>
      <c r="AW86" s="185"/>
      <c r="AX86" s="132">
        <v>1</v>
      </c>
      <c r="AY86" s="185">
        <v>63</v>
      </c>
      <c r="AZ86" s="131">
        <v>1</v>
      </c>
      <c r="BA86" s="131"/>
      <c r="BB86" s="130"/>
      <c r="BC86" s="130"/>
      <c r="BD86" s="130"/>
      <c r="BE86" s="130"/>
      <c r="BF86" s="130"/>
      <c r="BG86" s="130"/>
      <c r="BH86" s="130"/>
      <c r="BI86" s="130"/>
      <c r="BJ86" s="185"/>
      <c r="BK86" s="185"/>
      <c r="BL86" s="185">
        <v>2</v>
      </c>
      <c r="BM86" s="185"/>
      <c r="BN86" s="185"/>
      <c r="BO86" s="185"/>
      <c r="BP86" s="185">
        <v>2</v>
      </c>
      <c r="BQ86" s="185"/>
      <c r="BR86" s="185"/>
      <c r="BS86" s="185"/>
      <c r="BT86" s="185"/>
      <c r="BU86" s="185"/>
      <c r="BV86" s="185"/>
      <c r="BW86" s="225"/>
      <c r="BX86" s="185"/>
      <c r="BY86" s="185"/>
      <c r="BZ86" s="132"/>
      <c r="CA86" s="185"/>
      <c r="CB86" s="130">
        <v>4</v>
      </c>
      <c r="CC86" s="130">
        <v>0</v>
      </c>
      <c r="CD86" s="130">
        <v>67</v>
      </c>
      <c r="CE86" s="130">
        <v>1</v>
      </c>
      <c r="CF86" s="133">
        <v>64</v>
      </c>
      <c r="CG86" s="134">
        <v>4</v>
      </c>
    </row>
    <row r="87" spans="1:85" x14ac:dyDescent="0.25">
      <c r="A87" s="14">
        <v>972</v>
      </c>
      <c r="B87" s="2" t="s">
        <v>100</v>
      </c>
      <c r="C87" s="22"/>
      <c r="D87" s="183"/>
      <c r="E87" s="16"/>
      <c r="F87" s="16"/>
      <c r="G87" s="17"/>
      <c r="H87" s="17"/>
      <c r="I87" s="17"/>
      <c r="J87" s="17"/>
      <c r="K87" s="136"/>
      <c r="L87" s="136"/>
      <c r="M87" s="136"/>
      <c r="N87" s="136"/>
      <c r="O87" s="136"/>
      <c r="P87" s="136"/>
      <c r="Q87" s="183"/>
      <c r="R87" s="183"/>
      <c r="S87" s="183"/>
      <c r="T87" s="183"/>
      <c r="U87" s="183"/>
      <c r="V87" s="183"/>
      <c r="W87" s="183"/>
      <c r="X87" s="18"/>
      <c r="Y87" s="18"/>
      <c r="Z87" s="19"/>
      <c r="AA87" s="19"/>
      <c r="AB87" s="19">
        <v>1</v>
      </c>
      <c r="AC87" s="19"/>
      <c r="AD87" s="130">
        <v>1</v>
      </c>
      <c r="AE87" s="130"/>
      <c r="AF87" s="130"/>
      <c r="AG87" s="130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32">
        <v>0</v>
      </c>
      <c r="AY87" s="185">
        <v>2</v>
      </c>
      <c r="AZ87" s="131">
        <v>1</v>
      </c>
      <c r="BA87" s="131"/>
      <c r="BB87" s="130"/>
      <c r="BC87" s="130"/>
      <c r="BD87" s="130"/>
      <c r="BE87" s="130"/>
      <c r="BF87" s="130"/>
      <c r="BG87" s="130"/>
      <c r="BH87" s="130"/>
      <c r="BI87" s="130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/>
      <c r="BW87" s="185"/>
      <c r="BX87" s="185"/>
      <c r="BY87" s="185"/>
      <c r="BZ87" s="132"/>
      <c r="CA87" s="185"/>
      <c r="CB87" s="130">
        <v>0</v>
      </c>
      <c r="CC87" s="130">
        <v>0</v>
      </c>
      <c r="CD87" s="130">
        <v>2</v>
      </c>
      <c r="CE87" s="130">
        <v>1</v>
      </c>
      <c r="CF87" s="133">
        <v>3</v>
      </c>
      <c r="CG87" s="134">
        <v>0</v>
      </c>
    </row>
    <row r="88" spans="1:85" x14ac:dyDescent="0.25">
      <c r="A88" s="14" t="s">
        <v>206</v>
      </c>
      <c r="B88" s="2" t="s">
        <v>208</v>
      </c>
      <c r="C88" s="22"/>
      <c r="D88" s="183">
        <v>-1</v>
      </c>
      <c r="E88" s="16">
        <v>32</v>
      </c>
      <c r="F88" s="16"/>
      <c r="G88" s="17">
        <v>-1</v>
      </c>
      <c r="H88" s="17"/>
      <c r="I88" s="17"/>
      <c r="J88" s="17">
        <v>-2</v>
      </c>
      <c r="K88" s="136"/>
      <c r="L88" s="136">
        <v>-1</v>
      </c>
      <c r="M88" s="136"/>
      <c r="N88" s="136"/>
      <c r="O88" s="136"/>
      <c r="P88" s="136"/>
      <c r="Q88" s="183"/>
      <c r="R88" s="183"/>
      <c r="S88" s="183"/>
      <c r="T88" s="183"/>
      <c r="U88" s="183"/>
      <c r="V88" s="183"/>
      <c r="W88" s="183">
        <v>-1</v>
      </c>
      <c r="X88" s="18">
        <v>34</v>
      </c>
      <c r="Y88" s="18"/>
      <c r="Z88" s="19">
        <v>2</v>
      </c>
      <c r="AA88" s="19">
        <v>1</v>
      </c>
      <c r="AB88" s="19">
        <v>1</v>
      </c>
      <c r="AC88" s="19">
        <v>26</v>
      </c>
      <c r="AD88" s="130"/>
      <c r="AE88" s="130">
        <v>2</v>
      </c>
      <c r="AF88" s="130"/>
      <c r="AG88" s="130"/>
      <c r="AH88" s="185">
        <v>5</v>
      </c>
      <c r="AI88" s="185"/>
      <c r="AJ88" s="185">
        <v>12</v>
      </c>
      <c r="AK88" s="185">
        <v>-57</v>
      </c>
      <c r="AL88" s="185">
        <v>3</v>
      </c>
      <c r="AM88" s="185"/>
      <c r="AN88" s="185"/>
      <c r="AO88" s="185">
        <v>1</v>
      </c>
      <c r="AP88" s="185">
        <v>1</v>
      </c>
      <c r="AQ88" s="185">
        <v>1</v>
      </c>
      <c r="AR88" s="169">
        <v>1</v>
      </c>
      <c r="AS88" s="169">
        <v>1</v>
      </c>
      <c r="AT88" s="169">
        <v>0</v>
      </c>
      <c r="AU88" s="185">
        <v>1</v>
      </c>
      <c r="AV88" s="169">
        <v>1</v>
      </c>
      <c r="AW88" s="185">
        <v>0</v>
      </c>
      <c r="AX88" s="225">
        <v>0</v>
      </c>
      <c r="AY88" s="185">
        <v>31</v>
      </c>
      <c r="AZ88" s="131">
        <v>1</v>
      </c>
      <c r="BA88" s="131"/>
      <c r="BB88" s="130"/>
      <c r="BC88" s="130"/>
      <c r="BD88" s="130"/>
      <c r="BE88" s="130"/>
      <c r="BF88" s="130"/>
      <c r="BG88" s="130"/>
      <c r="BH88" s="130"/>
      <c r="BI88" s="130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  <c r="BV88" s="185"/>
      <c r="BW88" s="185"/>
      <c r="BX88" s="185"/>
      <c r="BY88" s="185"/>
      <c r="BZ88" s="225"/>
      <c r="CA88" s="185">
        <v>0</v>
      </c>
      <c r="CB88" s="130">
        <v>0</v>
      </c>
      <c r="CC88" s="130">
        <v>0</v>
      </c>
      <c r="CD88" s="130">
        <v>31</v>
      </c>
      <c r="CE88" s="130">
        <v>1</v>
      </c>
      <c r="CF88" s="133">
        <v>31</v>
      </c>
      <c r="CG88" s="134">
        <v>0</v>
      </c>
    </row>
    <row r="89" spans="1:85" x14ac:dyDescent="0.25">
      <c r="A89" s="14" t="s">
        <v>207</v>
      </c>
      <c r="B89" s="2" t="s">
        <v>209</v>
      </c>
      <c r="C89" s="15"/>
      <c r="D89" s="183"/>
      <c r="E89" s="16"/>
      <c r="F89" s="16"/>
      <c r="G89" s="17"/>
      <c r="H89" s="17"/>
      <c r="I89" s="17"/>
      <c r="J89" s="17"/>
      <c r="K89" s="136"/>
      <c r="L89" s="136"/>
      <c r="M89" s="136"/>
      <c r="N89" s="136"/>
      <c r="O89" s="136"/>
      <c r="P89" s="136"/>
      <c r="Q89" s="183"/>
      <c r="R89" s="183"/>
      <c r="S89" s="183"/>
      <c r="T89" s="183"/>
      <c r="U89" s="183"/>
      <c r="V89" s="183"/>
      <c r="W89" s="183"/>
      <c r="X89" s="18"/>
      <c r="Y89" s="18"/>
      <c r="Z89" s="19"/>
      <c r="AA89" s="19"/>
      <c r="AB89" s="19"/>
      <c r="AC89" s="19"/>
      <c r="AD89" s="130"/>
      <c r="AE89" s="130"/>
      <c r="AF89" s="169"/>
      <c r="AG89" s="130"/>
      <c r="AH89" s="185"/>
      <c r="AI89" s="185"/>
      <c r="AJ89" s="185"/>
      <c r="AK89" s="185">
        <v>57</v>
      </c>
      <c r="AL89" s="185"/>
      <c r="AM89" s="185">
        <v>5</v>
      </c>
      <c r="AN89" s="185">
        <v>5</v>
      </c>
      <c r="AO89" s="185">
        <v>2</v>
      </c>
      <c r="AP89" s="185">
        <v>1</v>
      </c>
      <c r="AQ89" s="185">
        <v>1</v>
      </c>
      <c r="AR89" s="169">
        <v>5</v>
      </c>
      <c r="AS89" s="185">
        <v>5</v>
      </c>
      <c r="AT89" s="169">
        <v>0</v>
      </c>
      <c r="AU89" s="228">
        <v>1</v>
      </c>
      <c r="AV89" s="169">
        <v>0</v>
      </c>
      <c r="AW89" s="185">
        <v>1</v>
      </c>
      <c r="AX89" s="225">
        <v>0</v>
      </c>
      <c r="AY89" s="185">
        <v>83</v>
      </c>
      <c r="AZ89" s="131">
        <v>1</v>
      </c>
      <c r="BA89" s="131"/>
      <c r="BB89" s="130"/>
      <c r="BC89" s="130"/>
      <c r="BD89" s="130"/>
      <c r="BE89" s="130"/>
      <c r="BF89" s="130"/>
      <c r="BG89" s="130"/>
      <c r="BH89" s="169"/>
      <c r="BI89" s="130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>
        <v>1</v>
      </c>
      <c r="BV89" s="185"/>
      <c r="BW89" s="228"/>
      <c r="BX89" s="185"/>
      <c r="BY89" s="185"/>
      <c r="BZ89" s="225"/>
      <c r="CA89" s="185">
        <v>0</v>
      </c>
      <c r="CB89" s="130">
        <v>1</v>
      </c>
      <c r="CC89" s="130">
        <v>0</v>
      </c>
      <c r="CD89" s="130">
        <v>84</v>
      </c>
      <c r="CE89" s="130">
        <v>1</v>
      </c>
      <c r="CF89" s="133">
        <v>84</v>
      </c>
      <c r="CG89" s="134">
        <v>1</v>
      </c>
    </row>
    <row r="90" spans="1:85" x14ac:dyDescent="0.25">
      <c r="A90" s="14">
        <v>23</v>
      </c>
      <c r="B90" s="2" t="s">
        <v>26</v>
      </c>
      <c r="C90" s="22"/>
      <c r="D90" s="183"/>
      <c r="E90" s="16">
        <v>17</v>
      </c>
      <c r="F90" s="16"/>
      <c r="G90" s="17"/>
      <c r="H90" s="17"/>
      <c r="I90" s="17"/>
      <c r="J90" s="17">
        <v>-1</v>
      </c>
      <c r="K90" s="136"/>
      <c r="L90" s="136"/>
      <c r="M90" s="136"/>
      <c r="N90" s="136"/>
      <c r="O90" s="136"/>
      <c r="P90" s="136"/>
      <c r="Q90" s="183"/>
      <c r="R90" s="183"/>
      <c r="S90" s="183"/>
      <c r="T90" s="183">
        <v>-6</v>
      </c>
      <c r="U90" s="183"/>
      <c r="V90" s="183"/>
      <c r="W90" s="183"/>
      <c r="X90" s="18">
        <v>17</v>
      </c>
      <c r="Y90" s="18"/>
      <c r="Z90" s="19"/>
      <c r="AA90" s="19">
        <v>1</v>
      </c>
      <c r="AB90" s="19">
        <v>1</v>
      </c>
      <c r="AC90" s="19">
        <v>9</v>
      </c>
      <c r="AD90" s="130">
        <v>1</v>
      </c>
      <c r="AE90" s="130">
        <v>13</v>
      </c>
      <c r="AF90" s="130"/>
      <c r="AG90" s="130">
        <v>1</v>
      </c>
      <c r="AH90" s="185"/>
      <c r="AI90" s="185">
        <v>1</v>
      </c>
      <c r="AJ90" s="185"/>
      <c r="AK90" s="185">
        <v>4</v>
      </c>
      <c r="AL90" s="185"/>
      <c r="AM90" s="185">
        <v>6</v>
      </c>
      <c r="AN90" s="185">
        <v>1</v>
      </c>
      <c r="AO90" s="185">
        <v>2</v>
      </c>
      <c r="AP90" s="185">
        <v>1</v>
      </c>
      <c r="AQ90" s="185"/>
      <c r="AR90" s="185">
        <v>1</v>
      </c>
      <c r="AS90" s="185">
        <v>0</v>
      </c>
      <c r="AT90" s="169">
        <v>0</v>
      </c>
      <c r="AU90" s="169">
        <v>1</v>
      </c>
      <c r="AV90" s="169">
        <v>0</v>
      </c>
      <c r="AW90" s="185">
        <v>0</v>
      </c>
      <c r="AX90" s="132">
        <v>0</v>
      </c>
      <c r="AY90" s="185">
        <v>53</v>
      </c>
      <c r="AZ90" s="131">
        <v>0</v>
      </c>
      <c r="BA90" s="131">
        <v>1</v>
      </c>
      <c r="BB90" s="130"/>
      <c r="BC90" s="130"/>
      <c r="BD90" s="130">
        <v>-1</v>
      </c>
      <c r="BE90" s="130"/>
      <c r="BF90" s="130"/>
      <c r="BG90" s="130"/>
      <c r="BH90" s="130">
        <v>1</v>
      </c>
      <c r="BI90" s="130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  <c r="BV90" s="185"/>
      <c r="BW90" s="185"/>
      <c r="BX90" s="185"/>
      <c r="BY90" s="185"/>
      <c r="BZ90" s="132"/>
      <c r="CA90" s="185">
        <v>0</v>
      </c>
      <c r="CB90" s="130">
        <v>1</v>
      </c>
      <c r="CC90" s="130">
        <v>0</v>
      </c>
      <c r="CD90" s="130">
        <v>54</v>
      </c>
      <c r="CE90" s="130">
        <v>0</v>
      </c>
      <c r="CF90" s="133">
        <v>53</v>
      </c>
      <c r="CG90" s="134">
        <v>1</v>
      </c>
    </row>
    <row r="91" spans="1:85" x14ac:dyDescent="0.25">
      <c r="A91" s="14">
        <v>25</v>
      </c>
      <c r="B91" s="2" t="s">
        <v>28</v>
      </c>
      <c r="C91" s="15"/>
      <c r="D91" s="183"/>
      <c r="E91" s="16">
        <v>100</v>
      </c>
      <c r="F91" s="16"/>
      <c r="G91" s="17"/>
      <c r="H91" s="17">
        <v>-1</v>
      </c>
      <c r="I91" s="17">
        <v>-1</v>
      </c>
      <c r="J91" s="17">
        <v>-3</v>
      </c>
      <c r="K91" s="136">
        <v>-1</v>
      </c>
      <c r="L91" s="136"/>
      <c r="M91" s="136">
        <v>-2</v>
      </c>
      <c r="N91" s="136"/>
      <c r="O91" s="136"/>
      <c r="P91" s="136"/>
      <c r="Q91" s="183">
        <v>-2</v>
      </c>
      <c r="R91" s="183">
        <v>-1</v>
      </c>
      <c r="S91" s="183"/>
      <c r="T91" s="183">
        <v>-3</v>
      </c>
      <c r="U91" s="183"/>
      <c r="V91" s="183"/>
      <c r="W91" s="183">
        <v>-1</v>
      </c>
      <c r="X91" s="18">
        <v>89</v>
      </c>
      <c r="Y91" s="18"/>
      <c r="Z91" s="19"/>
      <c r="AA91" s="19">
        <v>5</v>
      </c>
      <c r="AB91" s="19">
        <v>11</v>
      </c>
      <c r="AC91" s="19">
        <v>5</v>
      </c>
      <c r="AD91" s="130">
        <v>20</v>
      </c>
      <c r="AE91" s="130">
        <v>8</v>
      </c>
      <c r="AF91" s="130">
        <v>7</v>
      </c>
      <c r="AG91" s="169">
        <v>3</v>
      </c>
      <c r="AH91" s="185"/>
      <c r="AI91" s="169">
        <v>9</v>
      </c>
      <c r="AJ91" s="185">
        <v>6</v>
      </c>
      <c r="AK91" s="185">
        <v>3</v>
      </c>
      <c r="AL91" s="169">
        <v>1</v>
      </c>
      <c r="AM91" s="169">
        <v>6</v>
      </c>
      <c r="AN91" s="169">
        <v>1</v>
      </c>
      <c r="AO91" s="185">
        <v>2</v>
      </c>
      <c r="AP91" s="185">
        <v>1</v>
      </c>
      <c r="AQ91" s="185"/>
      <c r="AR91" s="228">
        <v>1</v>
      </c>
      <c r="AS91" s="169">
        <v>7</v>
      </c>
      <c r="AT91" s="169">
        <v>1</v>
      </c>
      <c r="AU91" s="169">
        <v>0</v>
      </c>
      <c r="AV91" s="169">
        <v>1</v>
      </c>
      <c r="AW91" s="228">
        <v>1</v>
      </c>
      <c r="AX91" s="132">
        <v>1</v>
      </c>
      <c r="AY91" s="185">
        <v>174</v>
      </c>
      <c r="AZ91" s="131">
        <v>0</v>
      </c>
      <c r="BA91" s="131">
        <v>11</v>
      </c>
      <c r="BB91" s="130"/>
      <c r="BC91" s="130"/>
      <c r="BD91" s="130">
        <v>-4</v>
      </c>
      <c r="BE91" s="130"/>
      <c r="BF91" s="130"/>
      <c r="BG91" s="130"/>
      <c r="BH91" s="130"/>
      <c r="BI91" s="130"/>
      <c r="BJ91" s="185"/>
      <c r="BK91" s="169"/>
      <c r="BL91" s="185"/>
      <c r="BM91" s="185"/>
      <c r="BN91" s="169"/>
      <c r="BO91" s="169"/>
      <c r="BP91" s="185"/>
      <c r="BQ91" s="185"/>
      <c r="BR91" s="185"/>
      <c r="BS91" s="185"/>
      <c r="BT91" s="227"/>
      <c r="BU91" s="185"/>
      <c r="BV91" s="185"/>
      <c r="BW91" s="185"/>
      <c r="BX91" s="169"/>
      <c r="BY91" s="228"/>
      <c r="BZ91" s="132"/>
      <c r="CA91" s="185">
        <v>0</v>
      </c>
      <c r="CB91" s="130">
        <v>7</v>
      </c>
      <c r="CC91" s="130">
        <v>0</v>
      </c>
      <c r="CD91" s="130">
        <v>181</v>
      </c>
      <c r="CE91" s="130">
        <v>0</v>
      </c>
      <c r="CF91" s="133">
        <v>174</v>
      </c>
      <c r="CG91" s="134">
        <v>7</v>
      </c>
    </row>
    <row r="92" spans="1:85" x14ac:dyDescent="0.25">
      <c r="A92" s="14">
        <v>43</v>
      </c>
      <c r="B92" s="2" t="s">
        <v>46</v>
      </c>
      <c r="C92" s="15"/>
      <c r="D92" s="183"/>
      <c r="E92" s="16">
        <v>22</v>
      </c>
      <c r="F92" s="16"/>
      <c r="G92" s="17">
        <v>-3</v>
      </c>
      <c r="H92" s="17"/>
      <c r="I92" s="17">
        <v>-1</v>
      </c>
      <c r="J92" s="17"/>
      <c r="K92" s="136"/>
      <c r="L92" s="136"/>
      <c r="M92" s="136"/>
      <c r="N92" s="136"/>
      <c r="O92" s="136"/>
      <c r="P92" s="136"/>
      <c r="Q92" s="183">
        <v>-1</v>
      </c>
      <c r="R92" s="183"/>
      <c r="S92" s="183">
        <v>-2</v>
      </c>
      <c r="T92" s="183">
        <v>-4</v>
      </c>
      <c r="U92" s="183">
        <v>-1</v>
      </c>
      <c r="V92" s="183"/>
      <c r="W92" s="183">
        <v>-1</v>
      </c>
      <c r="X92" s="18">
        <v>23</v>
      </c>
      <c r="Y92" s="18">
        <v>2</v>
      </c>
      <c r="Z92" s="19">
        <v>10</v>
      </c>
      <c r="AA92" s="19"/>
      <c r="AB92" s="19">
        <v>14</v>
      </c>
      <c r="AC92" s="19"/>
      <c r="AD92" s="130">
        <v>2</v>
      </c>
      <c r="AE92" s="130">
        <v>1</v>
      </c>
      <c r="AF92" s="130">
        <v>3</v>
      </c>
      <c r="AG92" s="130">
        <v>6</v>
      </c>
      <c r="AH92" s="185">
        <v>1</v>
      </c>
      <c r="AI92" s="185">
        <v>4</v>
      </c>
      <c r="AJ92" s="185">
        <v>2</v>
      </c>
      <c r="AK92" s="185">
        <v>5</v>
      </c>
      <c r="AL92" s="185">
        <v>6</v>
      </c>
      <c r="AM92" s="185">
        <v>9</v>
      </c>
      <c r="AN92" s="169">
        <v>9</v>
      </c>
      <c r="AO92" s="185">
        <v>4</v>
      </c>
      <c r="AP92" s="185">
        <v>3</v>
      </c>
      <c r="AQ92" s="185">
        <v>1</v>
      </c>
      <c r="AR92" s="169">
        <v>0</v>
      </c>
      <c r="AS92" s="169">
        <v>1</v>
      </c>
      <c r="AT92" s="185">
        <v>1</v>
      </c>
      <c r="AU92" s="228">
        <v>0</v>
      </c>
      <c r="AV92" s="185">
        <v>0</v>
      </c>
      <c r="AW92" s="185">
        <v>0</v>
      </c>
      <c r="AX92" s="132">
        <v>0</v>
      </c>
      <c r="AY92" s="185">
        <v>94</v>
      </c>
      <c r="AZ92" s="131">
        <v>0</v>
      </c>
      <c r="BA92" s="131"/>
      <c r="BB92" s="130"/>
      <c r="BC92" s="130"/>
      <c r="BD92" s="130"/>
      <c r="BE92" s="130"/>
      <c r="BF92" s="130"/>
      <c r="BG92" s="130"/>
      <c r="BH92" s="130"/>
      <c r="BI92" s="130"/>
      <c r="BJ92" s="185"/>
      <c r="BK92" s="185"/>
      <c r="BL92" s="185"/>
      <c r="BM92" s="185"/>
      <c r="BN92" s="185"/>
      <c r="BO92" s="185"/>
      <c r="BP92" s="185"/>
      <c r="BQ92" s="185"/>
      <c r="BR92" s="185">
        <v>1</v>
      </c>
      <c r="BS92" s="185"/>
      <c r="BT92" s="185"/>
      <c r="BU92" s="185"/>
      <c r="BV92" s="185"/>
      <c r="BW92" s="228"/>
      <c r="BX92" s="185"/>
      <c r="BY92" s="185"/>
      <c r="BZ92" s="132"/>
      <c r="CA92" s="185">
        <v>0</v>
      </c>
      <c r="CB92" s="130">
        <v>1</v>
      </c>
      <c r="CC92" s="130">
        <v>0</v>
      </c>
      <c r="CD92" s="130">
        <v>95</v>
      </c>
      <c r="CE92" s="130">
        <v>0</v>
      </c>
      <c r="CF92" s="133">
        <v>94</v>
      </c>
      <c r="CG92" s="134">
        <v>1</v>
      </c>
    </row>
    <row r="93" spans="1:85" x14ac:dyDescent="0.25">
      <c r="A93" s="14">
        <v>52</v>
      </c>
      <c r="B93" s="2" t="s">
        <v>55</v>
      </c>
      <c r="C93" s="22"/>
      <c r="D93" s="183"/>
      <c r="E93" s="16">
        <v>68</v>
      </c>
      <c r="F93" s="16"/>
      <c r="G93" s="17"/>
      <c r="H93" s="17"/>
      <c r="I93" s="17">
        <v>-1</v>
      </c>
      <c r="J93" s="17"/>
      <c r="K93" s="136"/>
      <c r="L93" s="136">
        <v>-1</v>
      </c>
      <c r="M93" s="136"/>
      <c r="N93" s="136"/>
      <c r="O93" s="136"/>
      <c r="P93" s="136">
        <v>-2</v>
      </c>
      <c r="Q93" s="183"/>
      <c r="R93" s="183">
        <v>-2</v>
      </c>
      <c r="S93" s="183"/>
      <c r="T93" s="183"/>
      <c r="U93" s="183"/>
      <c r="V93" s="183"/>
      <c r="W93" s="183"/>
      <c r="X93" s="18">
        <v>64</v>
      </c>
      <c r="Y93" s="18"/>
      <c r="Z93" s="19"/>
      <c r="AA93" s="19"/>
      <c r="AB93" s="19">
        <v>22</v>
      </c>
      <c r="AC93" s="19">
        <v>1</v>
      </c>
      <c r="AD93" s="130">
        <v>5</v>
      </c>
      <c r="AE93" s="130">
        <v>1</v>
      </c>
      <c r="AF93" s="130"/>
      <c r="AG93" s="130">
        <v>11</v>
      </c>
      <c r="AH93" s="185">
        <v>1</v>
      </c>
      <c r="AI93" s="185">
        <v>29</v>
      </c>
      <c r="AJ93" s="185">
        <v>39</v>
      </c>
      <c r="AK93" s="185">
        <v>11</v>
      </c>
      <c r="AL93" s="185">
        <v>12</v>
      </c>
      <c r="AM93" s="185">
        <v>18</v>
      </c>
      <c r="AN93" s="185">
        <v>7</v>
      </c>
      <c r="AO93" s="185">
        <v>8</v>
      </c>
      <c r="AP93" s="185">
        <v>6</v>
      </c>
      <c r="AQ93" s="185">
        <v>1</v>
      </c>
      <c r="AR93" s="185"/>
      <c r="AS93" s="185">
        <v>1</v>
      </c>
      <c r="AT93" s="169"/>
      <c r="AU93" s="185"/>
      <c r="AV93" s="185"/>
      <c r="AW93" s="185"/>
      <c r="AX93" s="132">
        <v>0</v>
      </c>
      <c r="AY93" s="185">
        <v>231</v>
      </c>
      <c r="AZ93" s="131">
        <v>0</v>
      </c>
      <c r="BA93" s="131">
        <v>5</v>
      </c>
      <c r="BB93" s="130"/>
      <c r="BC93" s="130"/>
      <c r="BD93" s="130"/>
      <c r="BE93" s="130"/>
      <c r="BF93" s="130"/>
      <c r="BG93" s="130"/>
      <c r="BH93" s="130"/>
      <c r="BI93" s="130"/>
      <c r="BJ93" s="185"/>
      <c r="BK93" s="185">
        <v>2</v>
      </c>
      <c r="BL93" s="185">
        <v>3</v>
      </c>
      <c r="BM93" s="185">
        <v>1</v>
      </c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  <c r="BY93" s="185"/>
      <c r="BZ93" s="132"/>
      <c r="CA93" s="185"/>
      <c r="CB93" s="130">
        <v>11</v>
      </c>
      <c r="CC93" s="130">
        <v>0</v>
      </c>
      <c r="CD93" s="130">
        <v>242</v>
      </c>
      <c r="CE93" s="130">
        <v>0</v>
      </c>
      <c r="CF93" s="133">
        <v>231</v>
      </c>
      <c r="CG93" s="134">
        <v>11</v>
      </c>
    </row>
    <row r="94" spans="1:85" x14ac:dyDescent="0.25">
      <c r="A94" s="14">
        <v>53</v>
      </c>
      <c r="B94" s="2" t="s">
        <v>56</v>
      </c>
      <c r="C94" s="22"/>
      <c r="D94" s="183"/>
      <c r="E94" s="16">
        <v>94</v>
      </c>
      <c r="F94" s="16"/>
      <c r="G94" s="17"/>
      <c r="H94" s="17"/>
      <c r="I94" s="17">
        <v>-1</v>
      </c>
      <c r="J94" s="17">
        <v>-1</v>
      </c>
      <c r="K94" s="136"/>
      <c r="L94" s="136"/>
      <c r="M94" s="136"/>
      <c r="N94" s="136"/>
      <c r="O94" s="136"/>
      <c r="P94" s="136"/>
      <c r="Q94" s="183"/>
      <c r="R94" s="183">
        <v>-1</v>
      </c>
      <c r="S94" s="183"/>
      <c r="T94" s="183"/>
      <c r="U94" s="183"/>
      <c r="V94" s="183"/>
      <c r="W94" s="183">
        <v>-1</v>
      </c>
      <c r="X94" s="18">
        <v>83</v>
      </c>
      <c r="Y94" s="18">
        <v>3</v>
      </c>
      <c r="Z94" s="19"/>
      <c r="AA94" s="19">
        <v>10</v>
      </c>
      <c r="AB94" s="19">
        <v>1</v>
      </c>
      <c r="AC94" s="19">
        <v>2</v>
      </c>
      <c r="AD94" s="130">
        <v>1</v>
      </c>
      <c r="AE94" s="130">
        <v>2</v>
      </c>
      <c r="AF94" s="130"/>
      <c r="AG94" s="130">
        <v>1</v>
      </c>
      <c r="AH94" s="185"/>
      <c r="AI94" s="185">
        <v>1</v>
      </c>
      <c r="AJ94" s="185"/>
      <c r="AK94" s="185">
        <v>4</v>
      </c>
      <c r="AL94" s="185">
        <v>4</v>
      </c>
      <c r="AM94" s="185"/>
      <c r="AN94" s="185"/>
      <c r="AO94" s="185"/>
      <c r="AP94" s="185">
        <v>3</v>
      </c>
      <c r="AQ94" s="185">
        <v>5</v>
      </c>
      <c r="AR94" s="169">
        <v>2</v>
      </c>
      <c r="AS94" s="169">
        <v>1</v>
      </c>
      <c r="AT94" s="169">
        <v>2</v>
      </c>
      <c r="AU94" s="185">
        <v>2</v>
      </c>
      <c r="AV94" s="185"/>
      <c r="AW94" s="169"/>
      <c r="AX94" s="132">
        <v>0</v>
      </c>
      <c r="AY94" s="185">
        <v>123</v>
      </c>
      <c r="AZ94" s="131">
        <v>0</v>
      </c>
      <c r="BA94" s="131">
        <v>12</v>
      </c>
      <c r="BB94" s="130"/>
      <c r="BC94" s="130"/>
      <c r="BD94" s="130">
        <v>-10</v>
      </c>
      <c r="BE94" s="130">
        <v>1</v>
      </c>
      <c r="BF94" s="130"/>
      <c r="BG94" s="130"/>
      <c r="BH94" s="130"/>
      <c r="BI94" s="130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  <c r="BV94" s="185"/>
      <c r="BW94" s="185"/>
      <c r="BX94" s="185"/>
      <c r="BY94" s="185">
        <v>1</v>
      </c>
      <c r="BZ94" s="132"/>
      <c r="CA94" s="185"/>
      <c r="CB94" s="130">
        <v>4</v>
      </c>
      <c r="CC94" s="130">
        <v>0</v>
      </c>
      <c r="CD94" s="130">
        <v>127</v>
      </c>
      <c r="CE94" s="130">
        <v>0</v>
      </c>
      <c r="CF94" s="133">
        <v>123</v>
      </c>
      <c r="CG94" s="134">
        <v>4</v>
      </c>
    </row>
    <row r="95" spans="1:85" x14ac:dyDescent="0.25">
      <c r="A95" s="14">
        <v>57</v>
      </c>
      <c r="B95" s="2" t="s">
        <v>60</v>
      </c>
      <c r="C95" s="22"/>
      <c r="D95" s="183"/>
      <c r="E95" s="16">
        <v>36</v>
      </c>
      <c r="F95" s="16"/>
      <c r="G95" s="17"/>
      <c r="H95" s="17"/>
      <c r="I95" s="17">
        <v>-1</v>
      </c>
      <c r="J95" s="17"/>
      <c r="K95" s="136"/>
      <c r="L95" s="136"/>
      <c r="M95" s="136">
        <v>-2</v>
      </c>
      <c r="N95" s="136"/>
      <c r="O95" s="136"/>
      <c r="P95" s="136">
        <v>-1</v>
      </c>
      <c r="Q95" s="183"/>
      <c r="R95" s="183">
        <v>-2</v>
      </c>
      <c r="S95" s="183">
        <v>-1</v>
      </c>
      <c r="T95" s="183"/>
      <c r="U95" s="183"/>
      <c r="V95" s="183"/>
      <c r="W95" s="183"/>
      <c r="X95" s="18">
        <v>40</v>
      </c>
      <c r="Y95" s="18"/>
      <c r="Z95" s="19"/>
      <c r="AA95" s="19"/>
      <c r="AB95" s="19">
        <v>6</v>
      </c>
      <c r="AC95" s="19">
        <v>2</v>
      </c>
      <c r="AD95" s="130">
        <v>3</v>
      </c>
      <c r="AE95" s="130"/>
      <c r="AF95" s="130">
        <v>5</v>
      </c>
      <c r="AG95" s="130"/>
      <c r="AH95" s="185"/>
      <c r="AI95" s="185">
        <v>1</v>
      </c>
      <c r="AJ95" s="185"/>
      <c r="AK95" s="185">
        <v>3</v>
      </c>
      <c r="AL95" s="185">
        <v>1</v>
      </c>
      <c r="AM95" s="185"/>
      <c r="AN95" s="169"/>
      <c r="AO95" s="185"/>
      <c r="AP95" s="185">
        <v>3</v>
      </c>
      <c r="AQ95" s="185"/>
      <c r="AR95" s="185"/>
      <c r="AS95" s="169">
        <v>1</v>
      </c>
      <c r="AT95" s="185"/>
      <c r="AU95" s="185">
        <v>1</v>
      </c>
      <c r="AV95" s="185"/>
      <c r="AW95" s="185">
        <v>2</v>
      </c>
      <c r="AX95" s="132">
        <v>0</v>
      </c>
      <c r="AY95" s="185">
        <v>61</v>
      </c>
      <c r="AZ95" s="131">
        <v>0</v>
      </c>
      <c r="BA95" s="131">
        <v>3</v>
      </c>
      <c r="BB95" s="130"/>
      <c r="BC95" s="130"/>
      <c r="BD95" s="130"/>
      <c r="BE95" s="130"/>
      <c r="BF95" s="130"/>
      <c r="BG95" s="130"/>
      <c r="BH95" s="130"/>
      <c r="BI95" s="130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85"/>
      <c r="BV95" s="185"/>
      <c r="BW95" s="185"/>
      <c r="BX95" s="185"/>
      <c r="BY95" s="185"/>
      <c r="BZ95" s="132"/>
      <c r="CA95" s="185"/>
      <c r="CB95" s="130">
        <v>3</v>
      </c>
      <c r="CC95" s="130">
        <v>0</v>
      </c>
      <c r="CD95" s="130">
        <v>64</v>
      </c>
      <c r="CE95" s="130">
        <v>0</v>
      </c>
      <c r="CF95" s="133">
        <v>61</v>
      </c>
      <c r="CG95" s="134">
        <v>3</v>
      </c>
    </row>
    <row r="96" spans="1:85" x14ac:dyDescent="0.25">
      <c r="A96" s="14">
        <v>59</v>
      </c>
      <c r="B96" s="2" t="s">
        <v>62</v>
      </c>
      <c r="C96" s="22"/>
      <c r="D96" s="183"/>
      <c r="E96" s="16">
        <v>29</v>
      </c>
      <c r="F96" s="16"/>
      <c r="G96" s="17"/>
      <c r="H96" s="17"/>
      <c r="I96" s="17"/>
      <c r="J96" s="17"/>
      <c r="K96" s="136"/>
      <c r="L96" s="136"/>
      <c r="M96" s="136"/>
      <c r="N96" s="136"/>
      <c r="O96" s="136"/>
      <c r="P96" s="136"/>
      <c r="Q96" s="183"/>
      <c r="R96" s="183"/>
      <c r="S96" s="183"/>
      <c r="T96" s="183"/>
      <c r="U96" s="183"/>
      <c r="V96" s="183">
        <v>-1</v>
      </c>
      <c r="W96" s="183">
        <v>-2</v>
      </c>
      <c r="X96" s="18">
        <v>28</v>
      </c>
      <c r="Y96" s="18">
        <v>1</v>
      </c>
      <c r="Z96" s="19">
        <v>-1</v>
      </c>
      <c r="AA96" s="19">
        <v>5</v>
      </c>
      <c r="AB96" s="19">
        <v>9</v>
      </c>
      <c r="AC96" s="19">
        <v>8</v>
      </c>
      <c r="AD96" s="130">
        <v>1</v>
      </c>
      <c r="AE96" s="130">
        <v>2</v>
      </c>
      <c r="AF96" s="130">
        <v>3</v>
      </c>
      <c r="AG96" s="130">
        <v>2</v>
      </c>
      <c r="AH96" s="185">
        <v>3</v>
      </c>
      <c r="AI96" s="185">
        <v>2</v>
      </c>
      <c r="AJ96" s="185"/>
      <c r="AK96" s="185">
        <v>1</v>
      </c>
      <c r="AL96" s="185">
        <v>1</v>
      </c>
      <c r="AM96" s="185"/>
      <c r="AN96" s="185"/>
      <c r="AO96" s="185">
        <v>2</v>
      </c>
      <c r="AP96" s="185">
        <v>8</v>
      </c>
      <c r="AQ96" s="185">
        <v>2</v>
      </c>
      <c r="AR96" s="185">
        <v>3</v>
      </c>
      <c r="AS96" s="169">
        <v>1</v>
      </c>
      <c r="AT96" s="185">
        <v>1</v>
      </c>
      <c r="AU96" s="185">
        <v>2</v>
      </c>
      <c r="AV96" s="185">
        <v>1</v>
      </c>
      <c r="AW96" s="185"/>
      <c r="AX96" s="132">
        <v>1</v>
      </c>
      <c r="AY96" s="185">
        <v>83</v>
      </c>
      <c r="AZ96" s="131">
        <v>0</v>
      </c>
      <c r="BA96" s="131">
        <v>2</v>
      </c>
      <c r="BB96" s="130"/>
      <c r="BC96" s="130">
        <v>1</v>
      </c>
      <c r="BD96" s="130">
        <v>-1</v>
      </c>
      <c r="BE96" s="130"/>
      <c r="BF96" s="130"/>
      <c r="BG96" s="130"/>
      <c r="BH96" s="130"/>
      <c r="BI96" s="130"/>
      <c r="BJ96" s="185"/>
      <c r="BK96" s="185"/>
      <c r="BL96" s="185"/>
      <c r="BM96" s="185"/>
      <c r="BN96" s="185"/>
      <c r="BO96" s="185"/>
      <c r="BP96" s="185"/>
      <c r="BQ96" s="185"/>
      <c r="BR96" s="185">
        <v>1</v>
      </c>
      <c r="BS96" s="185"/>
      <c r="BT96" s="185">
        <v>1</v>
      </c>
      <c r="BU96" s="185"/>
      <c r="BV96" s="185"/>
      <c r="BW96" s="185"/>
      <c r="BX96" s="185"/>
      <c r="BY96" s="185"/>
      <c r="BZ96" s="132">
        <v>1</v>
      </c>
      <c r="CA96" s="185"/>
      <c r="CB96" s="130">
        <v>5</v>
      </c>
      <c r="CC96" s="130">
        <v>0</v>
      </c>
      <c r="CD96" s="130">
        <v>88</v>
      </c>
      <c r="CE96" s="130">
        <v>0</v>
      </c>
      <c r="CF96" s="133">
        <v>83</v>
      </c>
      <c r="CG96" s="134">
        <v>5</v>
      </c>
    </row>
    <row r="97" spans="1:85" x14ac:dyDescent="0.25">
      <c r="A97" s="14">
        <v>90</v>
      </c>
      <c r="B97" s="2" t="s">
        <v>93</v>
      </c>
      <c r="C97" s="22"/>
      <c r="D97" s="183"/>
      <c r="E97" s="16">
        <v>7</v>
      </c>
      <c r="F97" s="16"/>
      <c r="G97" s="17"/>
      <c r="H97" s="17"/>
      <c r="I97" s="17"/>
      <c r="J97" s="17"/>
      <c r="K97" s="136"/>
      <c r="L97" s="136"/>
      <c r="M97" s="136"/>
      <c r="N97" s="136"/>
      <c r="O97" s="136"/>
      <c r="P97" s="136"/>
      <c r="Q97" s="183"/>
      <c r="R97" s="183"/>
      <c r="S97" s="183">
        <v>-1</v>
      </c>
      <c r="T97" s="183"/>
      <c r="U97" s="183"/>
      <c r="V97" s="183"/>
      <c r="W97" s="183"/>
      <c r="X97" s="18">
        <v>7</v>
      </c>
      <c r="Y97" s="18"/>
      <c r="Z97" s="19"/>
      <c r="AA97" s="19">
        <v>1</v>
      </c>
      <c r="AB97" s="19">
        <v>1</v>
      </c>
      <c r="AC97" s="19"/>
      <c r="AD97" s="130"/>
      <c r="AE97" s="130"/>
      <c r="AF97" s="130"/>
      <c r="AG97" s="130">
        <v>1</v>
      </c>
      <c r="AH97" s="185">
        <v>1</v>
      </c>
      <c r="AI97" s="185"/>
      <c r="AJ97" s="185"/>
      <c r="AK97" s="185"/>
      <c r="AL97" s="185">
        <v>4</v>
      </c>
      <c r="AM97" s="185"/>
      <c r="AN97" s="185"/>
      <c r="AO97" s="185"/>
      <c r="AP97" s="185">
        <v>1</v>
      </c>
      <c r="AQ97" s="185"/>
      <c r="AR97" s="185"/>
      <c r="AS97" s="169"/>
      <c r="AT97" s="185"/>
      <c r="AU97" s="185"/>
      <c r="AV97" s="185"/>
      <c r="AW97" s="185">
        <v>1</v>
      </c>
      <c r="AX97" s="132">
        <v>-1</v>
      </c>
      <c r="AY97" s="185">
        <v>15</v>
      </c>
      <c r="AZ97" s="131">
        <v>0</v>
      </c>
      <c r="BA97" s="131"/>
      <c r="BB97" s="130"/>
      <c r="BC97" s="130"/>
      <c r="BD97" s="130"/>
      <c r="BE97" s="130"/>
      <c r="BF97" s="130"/>
      <c r="BG97" s="130"/>
      <c r="BH97" s="130"/>
      <c r="BI97" s="130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185"/>
      <c r="BW97" s="185"/>
      <c r="BX97" s="185"/>
      <c r="BY97" s="185"/>
      <c r="BZ97" s="132"/>
      <c r="CA97" s="185"/>
      <c r="CB97" s="130">
        <v>0</v>
      </c>
      <c r="CC97" s="130">
        <v>0</v>
      </c>
      <c r="CD97" s="130">
        <v>15</v>
      </c>
      <c r="CE97" s="130">
        <v>0</v>
      </c>
      <c r="CF97" s="133">
        <v>15</v>
      </c>
      <c r="CG97" s="134">
        <v>0</v>
      </c>
    </row>
    <row r="98" spans="1:85" x14ac:dyDescent="0.25">
      <c r="A98" s="14">
        <v>91</v>
      </c>
      <c r="B98" s="2" t="s">
        <v>94</v>
      </c>
      <c r="C98" s="22"/>
      <c r="D98" s="183"/>
      <c r="E98" s="16">
        <v>55</v>
      </c>
      <c r="F98" s="16"/>
      <c r="G98" s="17">
        <v>-1</v>
      </c>
      <c r="H98" s="17">
        <v>-2</v>
      </c>
      <c r="I98" s="17"/>
      <c r="J98" s="17">
        <v>-2</v>
      </c>
      <c r="K98" s="136">
        <v>-1</v>
      </c>
      <c r="L98" s="136">
        <v>-1</v>
      </c>
      <c r="M98" s="136"/>
      <c r="N98" s="136"/>
      <c r="O98" s="136">
        <v>-1</v>
      </c>
      <c r="P98" s="136">
        <v>-2</v>
      </c>
      <c r="Q98" s="183"/>
      <c r="R98" s="183"/>
      <c r="S98" s="183"/>
      <c r="T98" s="183"/>
      <c r="U98" s="183"/>
      <c r="V98" s="183"/>
      <c r="W98" s="183"/>
      <c r="X98" s="18">
        <v>65</v>
      </c>
      <c r="Y98" s="18">
        <v>4</v>
      </c>
      <c r="Z98" s="19">
        <v>5</v>
      </c>
      <c r="AA98" s="19">
        <v>14</v>
      </c>
      <c r="AB98" s="19">
        <v>8</v>
      </c>
      <c r="AC98" s="19">
        <v>22</v>
      </c>
      <c r="AD98" s="130">
        <v>5</v>
      </c>
      <c r="AE98" s="130">
        <v>16</v>
      </c>
      <c r="AF98" s="130">
        <v>12</v>
      </c>
      <c r="AG98" s="130">
        <v>9</v>
      </c>
      <c r="AH98" s="185">
        <v>8</v>
      </c>
      <c r="AI98" s="185">
        <v>15</v>
      </c>
      <c r="AJ98" s="185">
        <v>8</v>
      </c>
      <c r="AK98" s="185">
        <v>5</v>
      </c>
      <c r="AL98" s="185">
        <v>4</v>
      </c>
      <c r="AM98" s="185">
        <v>2</v>
      </c>
      <c r="AN98" s="185">
        <v>1</v>
      </c>
      <c r="AO98" s="185">
        <v>1</v>
      </c>
      <c r="AP98" s="185">
        <v>1</v>
      </c>
      <c r="AQ98" s="185">
        <v>1</v>
      </c>
      <c r="AR98" s="185">
        <v>5</v>
      </c>
      <c r="AS98" s="185">
        <v>2</v>
      </c>
      <c r="AT98" s="185">
        <v>2</v>
      </c>
      <c r="AU98" s="185">
        <v>9</v>
      </c>
      <c r="AV98" s="185">
        <v>1</v>
      </c>
      <c r="AW98" s="185">
        <v>4</v>
      </c>
      <c r="AX98" s="132">
        <v>0</v>
      </c>
      <c r="AY98" s="185">
        <v>219</v>
      </c>
      <c r="AZ98" s="131">
        <v>0</v>
      </c>
      <c r="BA98" s="131">
        <v>2</v>
      </c>
      <c r="BB98" s="130">
        <v>2</v>
      </c>
      <c r="BC98" s="130">
        <v>1</v>
      </c>
      <c r="BD98" s="130">
        <v>-1</v>
      </c>
      <c r="BE98" s="130"/>
      <c r="BF98" s="130"/>
      <c r="BG98" s="130">
        <v>1</v>
      </c>
      <c r="BH98" s="130"/>
      <c r="BI98" s="130"/>
      <c r="BJ98" s="185">
        <v>1</v>
      </c>
      <c r="BK98" s="185"/>
      <c r="BL98" s="185">
        <v>3</v>
      </c>
      <c r="BM98" s="185">
        <v>2</v>
      </c>
      <c r="BN98" s="185">
        <v>1</v>
      </c>
      <c r="BO98" s="185"/>
      <c r="BP98" s="185">
        <v>1</v>
      </c>
      <c r="BQ98" s="185"/>
      <c r="BR98" s="185"/>
      <c r="BS98" s="185"/>
      <c r="BT98" s="185"/>
      <c r="BU98" s="185"/>
      <c r="BV98" s="185"/>
      <c r="BW98" s="185"/>
      <c r="BX98" s="185"/>
      <c r="BY98" s="185"/>
      <c r="BZ98" s="132"/>
      <c r="CA98" s="185"/>
      <c r="CB98" s="130">
        <v>13</v>
      </c>
      <c r="CC98" s="130">
        <v>0</v>
      </c>
      <c r="CD98" s="130">
        <v>232</v>
      </c>
      <c r="CE98" s="130">
        <v>0</v>
      </c>
      <c r="CF98" s="133">
        <v>219</v>
      </c>
      <c r="CG98" s="134">
        <v>13</v>
      </c>
    </row>
    <row r="99" spans="1:85" x14ac:dyDescent="0.25">
      <c r="A99" s="14">
        <v>93</v>
      </c>
      <c r="B99" s="2" t="s">
        <v>96</v>
      </c>
      <c r="C99" s="22"/>
      <c r="D99" s="183"/>
      <c r="E99" s="16">
        <v>5</v>
      </c>
      <c r="F99" s="16"/>
      <c r="G99" s="17"/>
      <c r="H99" s="17"/>
      <c r="I99" s="17"/>
      <c r="J99" s="17"/>
      <c r="K99" s="136">
        <v>-1</v>
      </c>
      <c r="L99" s="136"/>
      <c r="M99" s="136"/>
      <c r="N99" s="136"/>
      <c r="O99" s="136"/>
      <c r="P99" s="136"/>
      <c r="Q99" s="183"/>
      <c r="R99" s="183"/>
      <c r="S99" s="183"/>
      <c r="T99" s="183"/>
      <c r="U99" s="183"/>
      <c r="V99" s="183"/>
      <c r="W99" s="183"/>
      <c r="X99" s="18">
        <v>6</v>
      </c>
      <c r="Y99" s="18"/>
      <c r="Z99" s="19">
        <v>1</v>
      </c>
      <c r="AA99" s="19">
        <v>5</v>
      </c>
      <c r="AB99" s="19">
        <v>3</v>
      </c>
      <c r="AC99" s="19">
        <v>2</v>
      </c>
      <c r="AD99" s="130">
        <v>41</v>
      </c>
      <c r="AE99" s="130">
        <v>23</v>
      </c>
      <c r="AF99" s="130">
        <v>70</v>
      </c>
      <c r="AG99" s="130"/>
      <c r="AH99" s="185">
        <v>1</v>
      </c>
      <c r="AI99" s="185"/>
      <c r="AJ99" s="185"/>
      <c r="AK99" s="185"/>
      <c r="AL99" s="185"/>
      <c r="AM99" s="185">
        <v>2</v>
      </c>
      <c r="AN99" s="185"/>
      <c r="AO99" s="185">
        <v>2</v>
      </c>
      <c r="AP99" s="185"/>
      <c r="AQ99" s="185"/>
      <c r="AR99" s="169"/>
      <c r="AS99" s="169"/>
      <c r="AT99" s="185"/>
      <c r="AU99" s="225">
        <v>1</v>
      </c>
      <c r="AV99" s="185"/>
      <c r="AW99" s="185"/>
      <c r="AX99" s="132">
        <v>3</v>
      </c>
      <c r="AY99" s="185">
        <v>159</v>
      </c>
      <c r="AZ99" s="131">
        <v>0</v>
      </c>
      <c r="BA99" s="131"/>
      <c r="BB99" s="130"/>
      <c r="BC99" s="130"/>
      <c r="BD99" s="130"/>
      <c r="BE99" s="130"/>
      <c r="BF99" s="130"/>
      <c r="BG99" s="130"/>
      <c r="BH99" s="130"/>
      <c r="BI99" s="130"/>
      <c r="BJ99" s="185"/>
      <c r="BK99" s="185">
        <v>1</v>
      </c>
      <c r="BL99" s="185">
        <v>1</v>
      </c>
      <c r="BM99" s="185"/>
      <c r="BN99" s="185"/>
      <c r="BO99" s="185"/>
      <c r="BP99" s="185"/>
      <c r="BQ99" s="185"/>
      <c r="BR99" s="185"/>
      <c r="BS99" s="185"/>
      <c r="BT99" s="185"/>
      <c r="BU99" s="185"/>
      <c r="BV99" s="185"/>
      <c r="BW99" s="227"/>
      <c r="BX99" s="185"/>
      <c r="BY99" s="185"/>
      <c r="BZ99" s="132"/>
      <c r="CA99" s="185"/>
      <c r="CB99" s="130">
        <v>2</v>
      </c>
      <c r="CC99" s="130">
        <v>0</v>
      </c>
      <c r="CD99" s="130">
        <v>161</v>
      </c>
      <c r="CE99" s="130">
        <v>0</v>
      </c>
      <c r="CF99" s="133">
        <v>159</v>
      </c>
      <c r="CG99" s="134">
        <v>2</v>
      </c>
    </row>
    <row r="100" spans="1:85" x14ac:dyDescent="0.25">
      <c r="A100" s="14">
        <v>94</v>
      </c>
      <c r="B100" s="2" t="s">
        <v>97</v>
      </c>
      <c r="C100" s="22"/>
      <c r="D100" s="183"/>
      <c r="E100" s="16">
        <v>8</v>
      </c>
      <c r="F100" s="16"/>
      <c r="G100" s="17"/>
      <c r="H100" s="17"/>
      <c r="I100" s="17"/>
      <c r="J100" s="17"/>
      <c r="K100" s="136">
        <v>-1</v>
      </c>
      <c r="L100" s="136"/>
      <c r="M100" s="136">
        <v>-1</v>
      </c>
      <c r="N100" s="136"/>
      <c r="O100" s="136"/>
      <c r="P100" s="136">
        <v>-1</v>
      </c>
      <c r="Q100" s="183"/>
      <c r="R100" s="183"/>
      <c r="S100" s="183"/>
      <c r="T100" s="183"/>
      <c r="U100" s="183"/>
      <c r="V100" s="183"/>
      <c r="W100" s="183"/>
      <c r="X100" s="18">
        <v>9</v>
      </c>
      <c r="Y100" s="18">
        <v>1</v>
      </c>
      <c r="Z100" s="19">
        <v>3</v>
      </c>
      <c r="AA100" s="19">
        <v>2</v>
      </c>
      <c r="AB100" s="19">
        <v>4</v>
      </c>
      <c r="AC100" s="19">
        <v>3</v>
      </c>
      <c r="AD100" s="130">
        <v>52</v>
      </c>
      <c r="AE100" s="130">
        <v>51</v>
      </c>
      <c r="AF100" s="130">
        <v>5</v>
      </c>
      <c r="AG100" s="130">
        <v>10</v>
      </c>
      <c r="AH100" s="185">
        <v>2</v>
      </c>
      <c r="AI100" s="185">
        <v>2</v>
      </c>
      <c r="AJ100" s="185"/>
      <c r="AK100" s="185">
        <v>4</v>
      </c>
      <c r="AL100" s="185">
        <v>1</v>
      </c>
      <c r="AM100" s="185"/>
      <c r="AN100" s="185"/>
      <c r="AO100" s="185">
        <v>1</v>
      </c>
      <c r="AP100" s="185"/>
      <c r="AQ100" s="185"/>
      <c r="AR100" s="185">
        <v>3</v>
      </c>
      <c r="AS100" s="185">
        <v>2</v>
      </c>
      <c r="AT100" s="185"/>
      <c r="AU100" s="185"/>
      <c r="AV100" s="185">
        <v>1</v>
      </c>
      <c r="AW100" s="185">
        <v>1</v>
      </c>
      <c r="AX100" s="132">
        <v>1</v>
      </c>
      <c r="AY100" s="185">
        <v>155</v>
      </c>
      <c r="AZ100" s="131">
        <v>0</v>
      </c>
      <c r="BA100" s="131">
        <v>1</v>
      </c>
      <c r="BB100" s="130"/>
      <c r="BC100" s="130"/>
      <c r="BD100" s="130"/>
      <c r="BE100" s="130"/>
      <c r="BF100" s="130">
        <v>-1</v>
      </c>
      <c r="BG100" s="130"/>
      <c r="BH100" s="130">
        <v>1</v>
      </c>
      <c r="BI100" s="130"/>
      <c r="BJ100" s="185"/>
      <c r="BK100" s="185"/>
      <c r="BL100" s="185"/>
      <c r="BM100" s="185">
        <v>1</v>
      </c>
      <c r="BN100" s="185"/>
      <c r="BO100" s="185"/>
      <c r="BP100" s="185"/>
      <c r="BQ100" s="185"/>
      <c r="BR100" s="185"/>
      <c r="BS100" s="185"/>
      <c r="BT100" s="185"/>
      <c r="BU100" s="185"/>
      <c r="BV100" s="185"/>
      <c r="BW100" s="185"/>
      <c r="BX100" s="185"/>
      <c r="BY100" s="185"/>
      <c r="BZ100" s="132"/>
      <c r="CA100" s="185"/>
      <c r="CB100" s="130">
        <v>2</v>
      </c>
      <c r="CC100" s="130">
        <v>0</v>
      </c>
      <c r="CD100" s="130">
        <v>157</v>
      </c>
      <c r="CE100" s="130">
        <v>0</v>
      </c>
      <c r="CF100" s="133">
        <v>155</v>
      </c>
      <c r="CG100" s="134">
        <v>2</v>
      </c>
    </row>
    <row r="101" spans="1:85" x14ac:dyDescent="0.25">
      <c r="A101" s="14">
        <v>971</v>
      </c>
      <c r="B101" s="2" t="s">
        <v>99</v>
      </c>
      <c r="C101" s="22"/>
      <c r="D101" s="183"/>
      <c r="E101" s="16"/>
      <c r="F101" s="16"/>
      <c r="G101" s="17"/>
      <c r="H101" s="17"/>
      <c r="I101" s="17"/>
      <c r="J101" s="17"/>
      <c r="K101" s="136"/>
      <c r="L101" s="136"/>
      <c r="M101" s="136"/>
      <c r="N101" s="136"/>
      <c r="O101" s="136"/>
      <c r="P101" s="136"/>
      <c r="Q101" s="183"/>
      <c r="R101" s="183"/>
      <c r="S101" s="183"/>
      <c r="T101" s="183"/>
      <c r="U101" s="183"/>
      <c r="V101" s="183"/>
      <c r="W101" s="183"/>
      <c r="X101" s="18"/>
      <c r="Y101" s="18"/>
      <c r="Z101" s="19"/>
      <c r="AA101" s="19"/>
      <c r="AB101" s="19"/>
      <c r="AC101" s="19"/>
      <c r="AD101" s="130"/>
      <c r="AE101" s="130"/>
      <c r="AF101" s="130"/>
      <c r="AG101" s="130"/>
      <c r="AH101" s="185"/>
      <c r="AI101" s="185">
        <v>1</v>
      </c>
      <c r="AJ101" s="185"/>
      <c r="AK101" s="185">
        <v>1</v>
      </c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185"/>
      <c r="AX101" s="132">
        <v>0</v>
      </c>
      <c r="AY101" s="185">
        <v>2</v>
      </c>
      <c r="AZ101" s="131">
        <v>0</v>
      </c>
      <c r="BA101" s="131"/>
      <c r="BB101" s="130"/>
      <c r="BC101" s="130"/>
      <c r="BD101" s="130"/>
      <c r="BE101" s="130"/>
      <c r="BF101" s="130"/>
      <c r="BG101" s="130"/>
      <c r="BH101" s="130"/>
      <c r="BI101" s="130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185"/>
      <c r="BT101" s="185"/>
      <c r="BU101" s="185"/>
      <c r="BV101" s="185"/>
      <c r="BW101" s="185"/>
      <c r="BX101" s="185"/>
      <c r="BY101" s="185"/>
      <c r="BZ101" s="132"/>
      <c r="CA101" s="185"/>
      <c r="CB101" s="130">
        <v>0</v>
      </c>
      <c r="CC101" s="130">
        <v>0</v>
      </c>
      <c r="CD101" s="130">
        <v>2</v>
      </c>
      <c r="CE101" s="130">
        <v>0</v>
      </c>
      <c r="CF101" s="133">
        <v>2</v>
      </c>
      <c r="CG101" s="134">
        <v>0</v>
      </c>
    </row>
    <row r="102" spans="1:85" x14ac:dyDescent="0.25">
      <c r="A102" s="14">
        <v>973</v>
      </c>
      <c r="B102" s="2" t="s">
        <v>101</v>
      </c>
      <c r="C102" s="22"/>
      <c r="D102" s="183"/>
      <c r="E102" s="16">
        <v>1</v>
      </c>
      <c r="F102" s="16"/>
      <c r="G102" s="17"/>
      <c r="H102" s="17"/>
      <c r="I102" s="17"/>
      <c r="J102" s="17"/>
      <c r="K102" s="136"/>
      <c r="L102" s="136"/>
      <c r="M102" s="136"/>
      <c r="N102" s="136"/>
      <c r="O102" s="136"/>
      <c r="P102" s="136"/>
      <c r="Q102" s="183"/>
      <c r="R102" s="183"/>
      <c r="S102" s="183"/>
      <c r="T102" s="183"/>
      <c r="U102" s="183"/>
      <c r="V102" s="183"/>
      <c r="W102" s="183"/>
      <c r="X102" s="18">
        <v>1</v>
      </c>
      <c r="Y102" s="18"/>
      <c r="Z102" s="19"/>
      <c r="AA102" s="19"/>
      <c r="AB102" s="19"/>
      <c r="AC102" s="19"/>
      <c r="AD102" s="130"/>
      <c r="AE102" s="130"/>
      <c r="AF102" s="130"/>
      <c r="AG102" s="130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32">
        <v>0</v>
      </c>
      <c r="AY102" s="185">
        <v>1</v>
      </c>
      <c r="AZ102" s="131">
        <v>0</v>
      </c>
      <c r="BA102" s="131"/>
      <c r="BB102" s="130"/>
      <c r="BC102" s="130"/>
      <c r="BD102" s="130"/>
      <c r="BE102" s="130"/>
      <c r="BF102" s="130"/>
      <c r="BG102" s="130"/>
      <c r="BH102" s="130"/>
      <c r="BI102" s="130"/>
      <c r="BJ102" s="185"/>
      <c r="BK102" s="185"/>
      <c r="BL102" s="185"/>
      <c r="BM102" s="185"/>
      <c r="BN102" s="185"/>
      <c r="BO102" s="185"/>
      <c r="BP102" s="185"/>
      <c r="BQ102" s="185"/>
      <c r="BR102" s="185"/>
      <c r="BS102" s="185"/>
      <c r="BT102" s="185"/>
      <c r="BU102" s="185"/>
      <c r="BV102" s="185"/>
      <c r="BW102" s="185"/>
      <c r="BX102" s="185"/>
      <c r="BY102" s="185"/>
      <c r="BZ102" s="132"/>
      <c r="CA102" s="185"/>
      <c r="CB102" s="130">
        <v>0</v>
      </c>
      <c r="CC102" s="130">
        <v>0</v>
      </c>
      <c r="CD102" s="130">
        <v>1</v>
      </c>
      <c r="CE102" s="130">
        <v>0</v>
      </c>
      <c r="CF102" s="133">
        <v>1</v>
      </c>
      <c r="CG102" s="134">
        <v>0</v>
      </c>
    </row>
    <row r="103" spans="1:85" x14ac:dyDescent="0.25">
      <c r="A103" s="14">
        <v>974</v>
      </c>
      <c r="B103" s="2" t="s">
        <v>102</v>
      </c>
      <c r="C103" s="22"/>
      <c r="D103" s="183"/>
      <c r="E103" s="16">
        <v>1</v>
      </c>
      <c r="F103" s="16"/>
      <c r="G103" s="17"/>
      <c r="H103" s="17"/>
      <c r="I103" s="17"/>
      <c r="J103" s="17"/>
      <c r="K103" s="136"/>
      <c r="L103" s="136"/>
      <c r="M103" s="136"/>
      <c r="N103" s="136"/>
      <c r="O103" s="136"/>
      <c r="P103" s="136"/>
      <c r="Q103" s="183"/>
      <c r="R103" s="183"/>
      <c r="S103" s="183"/>
      <c r="T103" s="183"/>
      <c r="U103" s="183"/>
      <c r="V103" s="183"/>
      <c r="W103" s="183"/>
      <c r="X103" s="18">
        <v>3</v>
      </c>
      <c r="Y103" s="18"/>
      <c r="Z103" s="19"/>
      <c r="AA103" s="19"/>
      <c r="AB103" s="19"/>
      <c r="AC103" s="19">
        <v>2</v>
      </c>
      <c r="AD103" s="130">
        <v>2</v>
      </c>
      <c r="AE103" s="130"/>
      <c r="AF103" s="130">
        <v>7</v>
      </c>
      <c r="AG103" s="130"/>
      <c r="AH103" s="185">
        <v>1</v>
      </c>
      <c r="AI103" s="185"/>
      <c r="AJ103" s="185"/>
      <c r="AK103" s="185"/>
      <c r="AL103" s="185">
        <v>2</v>
      </c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32">
        <v>0</v>
      </c>
      <c r="AY103" s="185">
        <v>17</v>
      </c>
      <c r="AZ103" s="131">
        <v>0</v>
      </c>
      <c r="BA103" s="131"/>
      <c r="BB103" s="130"/>
      <c r="BC103" s="130"/>
      <c r="BD103" s="130"/>
      <c r="BE103" s="130"/>
      <c r="BF103" s="130"/>
      <c r="BG103" s="130"/>
      <c r="BH103" s="130"/>
      <c r="BI103" s="130"/>
      <c r="BJ103" s="185"/>
      <c r="BK103" s="185"/>
      <c r="BL103" s="185"/>
      <c r="BM103" s="185"/>
      <c r="BN103" s="185"/>
      <c r="BO103" s="185"/>
      <c r="BP103" s="185"/>
      <c r="BQ103" s="185"/>
      <c r="BR103" s="185">
        <v>1</v>
      </c>
      <c r="BS103" s="185"/>
      <c r="BT103" s="185"/>
      <c r="BU103" s="185"/>
      <c r="BV103" s="185"/>
      <c r="BW103" s="185"/>
      <c r="BX103" s="185"/>
      <c r="BY103" s="185"/>
      <c r="BZ103" s="132"/>
      <c r="CA103" s="185"/>
      <c r="CB103" s="130">
        <v>1</v>
      </c>
      <c r="CC103" s="130">
        <v>0</v>
      </c>
      <c r="CD103" s="130">
        <v>18</v>
      </c>
      <c r="CE103" s="130">
        <v>0</v>
      </c>
      <c r="CF103" s="133">
        <v>17</v>
      </c>
      <c r="CG103" s="134">
        <v>1</v>
      </c>
    </row>
    <row r="104" spans="1:85" x14ac:dyDescent="0.25">
      <c r="A104" s="14">
        <v>978</v>
      </c>
      <c r="B104" s="2" t="s">
        <v>217</v>
      </c>
      <c r="C104" s="15"/>
      <c r="D104" s="183"/>
      <c r="E104" s="16"/>
      <c r="F104" s="16"/>
      <c r="G104" s="17"/>
      <c r="H104" s="17"/>
      <c r="I104" s="17"/>
      <c r="J104" s="17"/>
      <c r="K104" s="136"/>
      <c r="L104" s="136"/>
      <c r="M104" s="136"/>
      <c r="N104" s="136"/>
      <c r="O104" s="136"/>
      <c r="P104" s="136"/>
      <c r="Q104" s="183"/>
      <c r="R104" s="183"/>
      <c r="S104" s="183"/>
      <c r="T104" s="183"/>
      <c r="U104" s="183"/>
      <c r="V104" s="183"/>
      <c r="W104" s="183"/>
      <c r="X104" s="18"/>
      <c r="Y104" s="18"/>
      <c r="Z104" s="19"/>
      <c r="AA104" s="19"/>
      <c r="AB104" s="19"/>
      <c r="AC104" s="19"/>
      <c r="AD104" s="130"/>
      <c r="AE104" s="130"/>
      <c r="AF104" s="130"/>
      <c r="AG104" s="130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69"/>
      <c r="AS104" s="185"/>
      <c r="AT104" s="185"/>
      <c r="AU104" s="185">
        <v>1</v>
      </c>
      <c r="AV104" s="185"/>
      <c r="AW104" s="185"/>
      <c r="AX104" s="132">
        <v>0</v>
      </c>
      <c r="AY104" s="185">
        <v>1</v>
      </c>
      <c r="AZ104" s="131">
        <v>0</v>
      </c>
      <c r="BA104" s="131"/>
      <c r="BB104" s="130"/>
      <c r="BC104" s="130"/>
      <c r="BD104" s="130"/>
      <c r="BE104" s="130"/>
      <c r="BF104" s="130"/>
      <c r="BG104" s="130"/>
      <c r="BH104" s="130"/>
      <c r="BI104" s="130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85"/>
      <c r="BV104" s="185"/>
      <c r="BW104" s="185"/>
      <c r="BX104" s="185"/>
      <c r="BY104" s="185"/>
      <c r="BZ104" s="132"/>
      <c r="CA104" s="185"/>
      <c r="CB104" s="130">
        <v>0</v>
      </c>
      <c r="CC104" s="130">
        <v>0</v>
      </c>
      <c r="CD104" s="130">
        <v>1</v>
      </c>
      <c r="CE104" s="130">
        <v>0</v>
      </c>
      <c r="CF104" s="133">
        <v>1</v>
      </c>
      <c r="CG104" s="134">
        <v>0</v>
      </c>
    </row>
    <row r="105" spans="1:85" x14ac:dyDescent="0.25">
      <c r="A105" s="14">
        <v>987</v>
      </c>
      <c r="B105" s="2" t="s">
        <v>218</v>
      </c>
      <c r="C105" s="15"/>
      <c r="D105" s="186"/>
      <c r="E105" s="16"/>
      <c r="F105" s="16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86"/>
      <c r="R105" s="186"/>
      <c r="S105" s="186"/>
      <c r="T105" s="186"/>
      <c r="U105" s="186"/>
      <c r="V105" s="186"/>
      <c r="W105" s="186"/>
      <c r="X105" s="18"/>
      <c r="Y105" s="18"/>
      <c r="Z105" s="19"/>
      <c r="AA105" s="19"/>
      <c r="AB105" s="19"/>
      <c r="AC105" s="19"/>
      <c r="AD105" s="19"/>
      <c r="AE105" s="19"/>
      <c r="AF105" s="19"/>
      <c r="AG105" s="19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5">
        <v>1</v>
      </c>
      <c r="AV105" s="185"/>
      <c r="AW105" s="187"/>
      <c r="AX105" s="132">
        <v>0</v>
      </c>
      <c r="AY105" s="187">
        <v>1</v>
      </c>
      <c r="AZ105" s="18">
        <v>0</v>
      </c>
      <c r="BA105" s="18"/>
      <c r="BB105" s="19"/>
      <c r="BC105" s="19"/>
      <c r="BD105" s="19"/>
      <c r="BE105" s="19"/>
      <c r="BF105" s="19"/>
      <c r="BG105" s="19"/>
      <c r="BH105" s="19"/>
      <c r="BI105" s="19"/>
      <c r="BJ105" s="187"/>
      <c r="BK105" s="187"/>
      <c r="BL105" s="187"/>
      <c r="BM105" s="187"/>
      <c r="BN105" s="187"/>
      <c r="BO105" s="185"/>
      <c r="BP105" s="185"/>
      <c r="BQ105" s="185"/>
      <c r="BR105" s="185"/>
      <c r="BS105" s="185"/>
      <c r="BT105" s="185"/>
      <c r="BU105" s="185"/>
      <c r="BV105" s="185"/>
      <c r="BW105" s="185"/>
      <c r="BX105" s="185"/>
      <c r="BY105" s="185"/>
      <c r="BZ105" s="132"/>
      <c r="CA105" s="185"/>
      <c r="CB105" s="19">
        <v>0</v>
      </c>
      <c r="CC105" s="19">
        <v>0</v>
      </c>
      <c r="CD105" s="19">
        <v>1</v>
      </c>
      <c r="CE105" s="19">
        <v>0</v>
      </c>
      <c r="CF105" s="20">
        <v>1</v>
      </c>
      <c r="CG105" s="21">
        <v>0</v>
      </c>
    </row>
  </sheetData>
  <sortState xmlns:xlrd2="http://schemas.microsoft.com/office/spreadsheetml/2017/richdata2" ref="A4:CG105">
    <sortCondition descending="1" ref="CE4:CE105"/>
    <sortCondition ref="A4:A105"/>
  </sortState>
  <mergeCells count="2">
    <mergeCell ref="X2:AY2"/>
    <mergeCell ref="AZ2:CA2"/>
  </mergeCells>
  <phoneticPr fontId="5" type="noConversion"/>
  <printOptions horizontalCentered="1" verticalCentered="1"/>
  <pageMargins left="2.1653543307086616" right="0" top="0.55118110236220474" bottom="0.43307086614173229" header="0.19685039370078741" footer="0.31496062992125984"/>
  <pageSetup paperSize="9" scale="40" orientation="landscape" horizontalDpi="300" verticalDpi="300" r:id="rId1"/>
  <headerFooter alignWithMargins="0">
    <oddHeader>&amp;C&amp;"Book Antiqua,Normal"&amp;14&amp;EFICHIERS CADRANS SOLAIRES FRANÇAIS
1998</oddHeader>
    <oddFooter>&amp;L&amp;8Ajustement = Disparus, doublons ou restaurés&amp;R&amp;9&amp;D - S.GREGORI (01 39 74 49 29)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82"/>
  <sheetViews>
    <sheetView showZeros="0" workbookViewId="0">
      <pane xSplit="4" ySplit="3" topLeftCell="E4" activePane="bottomRight" state="frozen"/>
      <selection activeCell="A40" sqref="A40"/>
      <selection pane="topRight" activeCell="A40" sqref="A40"/>
      <selection pane="bottomLeft" activeCell="A40" sqref="A40"/>
      <selection pane="bottomRight" activeCell="E4" sqref="E4"/>
    </sheetView>
  </sheetViews>
  <sheetFormatPr baseColWidth="10" defaultRowHeight="13.2" x14ac:dyDescent="0.25"/>
  <cols>
    <col min="1" max="1" width="7.109375" customWidth="1"/>
    <col min="3" max="3" width="11.44140625" style="2" customWidth="1"/>
    <col min="4" max="4" width="4.5546875" style="2" customWidth="1"/>
    <col min="5" max="5" width="5.44140625" style="3" customWidth="1"/>
  </cols>
  <sheetData>
    <row r="1" spans="1:6" x14ac:dyDescent="0.25">
      <c r="C1" s="30"/>
    </row>
    <row r="2" spans="1:6" ht="13.8" thickBot="1" x14ac:dyDescent="0.3">
      <c r="E2" s="7"/>
    </row>
    <row r="3" spans="1:6" ht="45" customHeight="1" thickBot="1" x14ac:dyDescent="0.3">
      <c r="C3" s="69" t="s">
        <v>117</v>
      </c>
      <c r="D3" s="38"/>
      <c r="E3" s="103">
        <v>2021</v>
      </c>
      <c r="F3" s="191" t="s">
        <v>225</v>
      </c>
    </row>
    <row r="4" spans="1:6" ht="16.5" customHeight="1" x14ac:dyDescent="0.25">
      <c r="A4">
        <f t="shared" ref="A4:A67" si="0">RANK(E4,$E$4:$E$84)</f>
        <v>25</v>
      </c>
      <c r="B4">
        <f t="shared" ref="B4:B67" si="1">RANK(F4,$F$4:$F$84)</f>
        <v>69</v>
      </c>
      <c r="C4" s="70" t="s">
        <v>201</v>
      </c>
      <c r="D4" s="52"/>
      <c r="E4" s="3">
        <f>+Etrangers!AF4+Etrangers!BI4</f>
        <v>0</v>
      </c>
      <c r="F4" s="190">
        <f>+Etrangers!BJ4+Etrangers!BK4</f>
        <v>1</v>
      </c>
    </row>
    <row r="5" spans="1:6" ht="16.5" customHeight="1" x14ac:dyDescent="0.25">
      <c r="A5">
        <f t="shared" si="0"/>
        <v>25</v>
      </c>
      <c r="B5">
        <f t="shared" si="1"/>
        <v>33</v>
      </c>
      <c r="C5" s="70" t="s">
        <v>120</v>
      </c>
      <c r="D5" s="44"/>
      <c r="E5" s="3">
        <f>+Etrangers!AF5+Etrangers!BI5</f>
        <v>0</v>
      </c>
      <c r="F5" s="190">
        <f>+Etrangers!BJ5+Etrangers!BK5</f>
        <v>19</v>
      </c>
    </row>
    <row r="6" spans="1:6" ht="16.5" customHeight="1" x14ac:dyDescent="0.25">
      <c r="A6">
        <f t="shared" si="0"/>
        <v>4</v>
      </c>
      <c r="B6">
        <f t="shared" si="1"/>
        <v>3</v>
      </c>
      <c r="C6" s="70" t="s">
        <v>121</v>
      </c>
      <c r="D6" s="44"/>
      <c r="E6" s="3">
        <f>+Etrangers!AF6+Etrangers!BI6</f>
        <v>120</v>
      </c>
      <c r="F6" s="190">
        <f>+Etrangers!BJ6+Etrangers!BK6</f>
        <v>2166</v>
      </c>
    </row>
    <row r="7" spans="1:6" ht="16.5" customHeight="1" x14ac:dyDescent="0.25">
      <c r="A7">
        <f t="shared" si="0"/>
        <v>25</v>
      </c>
      <c r="B7">
        <f t="shared" si="1"/>
        <v>38</v>
      </c>
      <c r="C7" s="70" t="s">
        <v>123</v>
      </c>
      <c r="D7" s="44"/>
      <c r="E7" s="3">
        <f>+Etrangers!AF7+Etrangers!BI7</f>
        <v>0</v>
      </c>
      <c r="F7" s="190">
        <f>+Etrangers!BJ7+Etrangers!BK7</f>
        <v>12</v>
      </c>
    </row>
    <row r="8" spans="1:6" ht="16.5" customHeight="1" x14ac:dyDescent="0.25">
      <c r="A8">
        <f t="shared" si="0"/>
        <v>25</v>
      </c>
      <c r="B8">
        <f t="shared" si="1"/>
        <v>69</v>
      </c>
      <c r="C8" s="70" t="s">
        <v>187</v>
      </c>
      <c r="D8" s="52"/>
      <c r="E8" s="3">
        <f>+Etrangers!AF8+Etrangers!BI8</f>
        <v>0</v>
      </c>
      <c r="F8" s="190">
        <f>+Etrangers!BJ8+Etrangers!BK8</f>
        <v>1</v>
      </c>
    </row>
    <row r="9" spans="1:6" ht="16.5" customHeight="1" x14ac:dyDescent="0.25">
      <c r="A9">
        <f t="shared" si="0"/>
        <v>25</v>
      </c>
      <c r="B9">
        <f t="shared" si="1"/>
        <v>32</v>
      </c>
      <c r="C9" s="70" t="s">
        <v>125</v>
      </c>
      <c r="D9" s="52"/>
      <c r="E9" s="3">
        <f>+Etrangers!AF9+Etrangers!BI9</f>
        <v>0</v>
      </c>
      <c r="F9" s="190">
        <f>+Etrangers!BJ9+Etrangers!BK9</f>
        <v>21</v>
      </c>
    </row>
    <row r="10" spans="1:6" ht="16.5" customHeight="1" x14ac:dyDescent="0.25">
      <c r="A10">
        <f t="shared" si="0"/>
        <v>25</v>
      </c>
      <c r="B10">
        <f t="shared" si="1"/>
        <v>28</v>
      </c>
      <c r="C10" s="70" t="s">
        <v>192</v>
      </c>
      <c r="D10" s="44"/>
      <c r="E10" s="3">
        <f>+Etrangers!AF10+Etrangers!BI10</f>
        <v>0</v>
      </c>
      <c r="F10" s="190">
        <f>+Etrangers!BJ10+Etrangers!BK10</f>
        <v>29</v>
      </c>
    </row>
    <row r="11" spans="1:6" ht="16.5" customHeight="1" x14ac:dyDescent="0.25">
      <c r="A11">
        <f t="shared" si="0"/>
        <v>25</v>
      </c>
      <c r="B11">
        <f t="shared" si="1"/>
        <v>33</v>
      </c>
      <c r="C11" s="70" t="s">
        <v>184</v>
      </c>
      <c r="D11" s="44"/>
      <c r="E11" s="3">
        <f>+Etrangers!AF11+Etrangers!BI11</f>
        <v>0</v>
      </c>
      <c r="F11" s="190">
        <f>+Etrangers!BJ11+Etrangers!BK11</f>
        <v>19</v>
      </c>
    </row>
    <row r="12" spans="1:6" ht="16.5" customHeight="1" x14ac:dyDescent="0.25">
      <c r="A12">
        <f t="shared" si="0"/>
        <v>25</v>
      </c>
      <c r="B12">
        <f t="shared" si="1"/>
        <v>4</v>
      </c>
      <c r="C12" s="70" t="s">
        <v>127</v>
      </c>
      <c r="D12" s="52"/>
      <c r="E12" s="3">
        <f>+Etrangers!AF12+Etrangers!BI12</f>
        <v>0</v>
      </c>
      <c r="F12" s="190">
        <f>+Etrangers!BJ12+Etrangers!BK12</f>
        <v>1849</v>
      </c>
    </row>
    <row r="13" spans="1:6" ht="16.5" customHeight="1" x14ac:dyDescent="0.25">
      <c r="A13">
        <f t="shared" si="0"/>
        <v>25</v>
      </c>
      <c r="B13">
        <f t="shared" si="1"/>
        <v>69</v>
      </c>
      <c r="C13" s="70" t="s">
        <v>226</v>
      </c>
      <c r="D13" s="52"/>
      <c r="E13" s="3">
        <f>+Etrangers!AF13+Etrangers!BI13</f>
        <v>0</v>
      </c>
      <c r="F13" s="190">
        <f>+Etrangers!BJ13+Etrangers!BK13</f>
        <v>1</v>
      </c>
    </row>
    <row r="14" spans="1:6" ht="16.5" customHeight="1" x14ac:dyDescent="0.25">
      <c r="A14">
        <f t="shared" si="0"/>
        <v>13</v>
      </c>
      <c r="B14">
        <f t="shared" si="1"/>
        <v>11</v>
      </c>
      <c r="C14" s="70" t="s">
        <v>129</v>
      </c>
      <c r="D14" s="52"/>
      <c r="E14" s="3">
        <f>+Etrangers!AF14+Etrangers!BI14</f>
        <v>5</v>
      </c>
      <c r="F14" s="190">
        <f>+Etrangers!BJ14+Etrangers!BK14</f>
        <v>228</v>
      </c>
    </row>
    <row r="15" spans="1:6" ht="16.5" customHeight="1" x14ac:dyDescent="0.25">
      <c r="A15">
        <f t="shared" si="0"/>
        <v>25</v>
      </c>
      <c r="B15">
        <f t="shared" si="1"/>
        <v>69</v>
      </c>
      <c r="C15" s="70" t="s">
        <v>220</v>
      </c>
      <c r="D15" s="52"/>
      <c r="E15" s="3">
        <f>+Etrangers!AF15+Etrangers!BI15</f>
        <v>0</v>
      </c>
      <c r="F15" s="190">
        <f>+Etrangers!BJ15+Etrangers!BK15</f>
        <v>1</v>
      </c>
    </row>
    <row r="16" spans="1:6" ht="16.5" customHeight="1" x14ac:dyDescent="0.25">
      <c r="A16">
        <f t="shared" si="0"/>
        <v>25</v>
      </c>
      <c r="B16">
        <f t="shared" si="1"/>
        <v>43</v>
      </c>
      <c r="C16" s="70" t="s">
        <v>131</v>
      </c>
      <c r="D16" s="52"/>
      <c r="E16" s="3">
        <f>+Etrangers!AF16+Etrangers!BI16</f>
        <v>0</v>
      </c>
      <c r="F16" s="190">
        <f>+Etrangers!BJ16+Etrangers!BK16</f>
        <v>9</v>
      </c>
    </row>
    <row r="17" spans="1:6" ht="16.5" customHeight="1" x14ac:dyDescent="0.25">
      <c r="A17">
        <f t="shared" si="0"/>
        <v>25</v>
      </c>
      <c r="B17">
        <f t="shared" si="1"/>
        <v>59</v>
      </c>
      <c r="C17" s="70" t="s">
        <v>169</v>
      </c>
      <c r="D17" s="44"/>
      <c r="E17" s="3">
        <f>+Etrangers!AF17+Etrangers!BI17</f>
        <v>0</v>
      </c>
      <c r="F17" s="190">
        <f>+Etrangers!BJ17+Etrangers!BK17</f>
        <v>3</v>
      </c>
    </row>
    <row r="18" spans="1:6" ht="16.5" customHeight="1" x14ac:dyDescent="0.25">
      <c r="A18">
        <f t="shared" si="0"/>
        <v>8</v>
      </c>
      <c r="B18">
        <f t="shared" si="1"/>
        <v>22</v>
      </c>
      <c r="C18" s="70" t="s">
        <v>133</v>
      </c>
      <c r="D18" s="52"/>
      <c r="E18" s="3">
        <f>+Etrangers!AF18+Etrangers!BI18</f>
        <v>13</v>
      </c>
      <c r="F18" s="190">
        <f>+Etrangers!BJ18+Etrangers!BK18</f>
        <v>46</v>
      </c>
    </row>
    <row r="19" spans="1:6" ht="16.5" customHeight="1" x14ac:dyDescent="0.25">
      <c r="A19">
        <f t="shared" si="0"/>
        <v>25</v>
      </c>
      <c r="B19">
        <f t="shared" si="1"/>
        <v>59</v>
      </c>
      <c r="C19" s="70" t="s">
        <v>135</v>
      </c>
      <c r="D19" s="52"/>
      <c r="E19" s="3">
        <f>+Etrangers!AF19+Etrangers!BI19</f>
        <v>0</v>
      </c>
      <c r="F19" s="190">
        <f>+Etrangers!BJ19+Etrangers!BK19</f>
        <v>3</v>
      </c>
    </row>
    <row r="20" spans="1:6" ht="16.5" customHeight="1" x14ac:dyDescent="0.25">
      <c r="A20">
        <f t="shared" si="0"/>
        <v>25</v>
      </c>
      <c r="B20">
        <f t="shared" si="1"/>
        <v>18</v>
      </c>
      <c r="C20" s="70" t="s">
        <v>137</v>
      </c>
      <c r="D20" s="174"/>
      <c r="E20" s="3">
        <f>+Etrangers!AF20+Etrangers!BI20</f>
        <v>0</v>
      </c>
      <c r="F20" s="190">
        <f>+Etrangers!BJ20+Etrangers!BK20</f>
        <v>74</v>
      </c>
    </row>
    <row r="21" spans="1:6" ht="16.5" customHeight="1" x14ac:dyDescent="0.25">
      <c r="A21">
        <f t="shared" si="0"/>
        <v>11</v>
      </c>
      <c r="B21">
        <f t="shared" si="1"/>
        <v>43</v>
      </c>
      <c r="C21" s="70" t="s">
        <v>203</v>
      </c>
      <c r="D21" s="44"/>
      <c r="E21" s="3">
        <f>+Etrangers!AF21+Etrangers!BI21</f>
        <v>7</v>
      </c>
      <c r="F21" s="190">
        <f>+Etrangers!BJ21+Etrangers!BK21</f>
        <v>9</v>
      </c>
    </row>
    <row r="22" spans="1:6" ht="16.5" customHeight="1" x14ac:dyDescent="0.25">
      <c r="A22">
        <f t="shared" si="0"/>
        <v>16</v>
      </c>
      <c r="B22">
        <f t="shared" si="1"/>
        <v>31</v>
      </c>
      <c r="C22" s="70" t="s">
        <v>139</v>
      </c>
      <c r="D22" s="44"/>
      <c r="E22" s="3">
        <f>+Etrangers!AF22+Etrangers!BI22</f>
        <v>2</v>
      </c>
      <c r="F22" s="190">
        <f>+Etrangers!BJ22+Etrangers!BK22</f>
        <v>23</v>
      </c>
    </row>
    <row r="23" spans="1:6" ht="16.5" customHeight="1" x14ac:dyDescent="0.25">
      <c r="A23">
        <f t="shared" si="0"/>
        <v>25</v>
      </c>
      <c r="B23">
        <f t="shared" si="1"/>
        <v>69</v>
      </c>
      <c r="C23" s="70" t="s">
        <v>210</v>
      </c>
      <c r="D23" s="52"/>
      <c r="E23" s="3">
        <f>+Etrangers!AF23+Etrangers!BI23</f>
        <v>0</v>
      </c>
      <c r="F23" s="190">
        <f>+Etrangers!BJ23+Etrangers!BK23</f>
        <v>1</v>
      </c>
    </row>
    <row r="24" spans="1:6" ht="16.5" customHeight="1" x14ac:dyDescent="0.25">
      <c r="A24">
        <f t="shared" si="0"/>
        <v>25</v>
      </c>
      <c r="B24">
        <f t="shared" si="1"/>
        <v>59</v>
      </c>
      <c r="C24" s="70" t="s">
        <v>188</v>
      </c>
      <c r="D24" s="52"/>
      <c r="E24" s="3">
        <f>+Etrangers!AF24+Etrangers!BI24</f>
        <v>0</v>
      </c>
      <c r="F24" s="190">
        <f>+Etrangers!BJ24+Etrangers!BK24</f>
        <v>3</v>
      </c>
    </row>
    <row r="25" spans="1:6" ht="16.5" customHeight="1" x14ac:dyDescent="0.25">
      <c r="A25">
        <f t="shared" si="0"/>
        <v>25</v>
      </c>
      <c r="B25">
        <f t="shared" si="1"/>
        <v>69</v>
      </c>
      <c r="C25" s="70" t="s">
        <v>212</v>
      </c>
      <c r="D25" s="44"/>
      <c r="E25" s="3">
        <f>+Etrangers!AF25+Etrangers!BI25</f>
        <v>0</v>
      </c>
      <c r="F25" s="190">
        <f>+Etrangers!BJ25+Etrangers!BK25</f>
        <v>1</v>
      </c>
    </row>
    <row r="26" spans="1:6" ht="16.5" customHeight="1" x14ac:dyDescent="0.25">
      <c r="A26">
        <f t="shared" si="0"/>
        <v>6</v>
      </c>
      <c r="B26">
        <f t="shared" si="1"/>
        <v>16</v>
      </c>
      <c r="C26" s="70" t="s">
        <v>170</v>
      </c>
      <c r="D26" s="52"/>
      <c r="E26" s="3">
        <f>+Etrangers!AF26+Etrangers!BI26</f>
        <v>52</v>
      </c>
      <c r="F26" s="190">
        <f>+Etrangers!BJ26+Etrangers!BK26</f>
        <v>75</v>
      </c>
    </row>
    <row r="27" spans="1:6" ht="16.5" customHeight="1" x14ac:dyDescent="0.25">
      <c r="A27">
        <f t="shared" si="0"/>
        <v>25</v>
      </c>
      <c r="B27">
        <f t="shared" si="1"/>
        <v>38</v>
      </c>
      <c r="C27" s="70" t="s">
        <v>211</v>
      </c>
      <c r="D27" s="52"/>
      <c r="E27" s="3">
        <f>+Etrangers!AF27+Etrangers!BI27</f>
        <v>0</v>
      </c>
      <c r="F27" s="190">
        <f>+Etrangers!BJ27+Etrangers!BK27</f>
        <v>12</v>
      </c>
    </row>
    <row r="28" spans="1:6" ht="16.5" customHeight="1" x14ac:dyDescent="0.25">
      <c r="A28">
        <f t="shared" si="0"/>
        <v>25</v>
      </c>
      <c r="B28">
        <f t="shared" si="1"/>
        <v>27</v>
      </c>
      <c r="C28" s="70" t="s">
        <v>167</v>
      </c>
      <c r="D28" s="52"/>
      <c r="E28" s="3">
        <f>+Etrangers!AF28+Etrangers!BI28</f>
        <v>0</v>
      </c>
      <c r="F28" s="190">
        <f>+Etrangers!BJ28+Etrangers!BK28</f>
        <v>32</v>
      </c>
    </row>
    <row r="29" spans="1:6" ht="16.5" customHeight="1" x14ac:dyDescent="0.25">
      <c r="A29">
        <f t="shared" si="0"/>
        <v>25</v>
      </c>
      <c r="B29">
        <f t="shared" si="1"/>
        <v>59</v>
      </c>
      <c r="C29" s="70" t="s">
        <v>178</v>
      </c>
      <c r="D29" s="52"/>
      <c r="E29" s="3">
        <f>+Etrangers!AF29+Etrangers!BI29</f>
        <v>0</v>
      </c>
      <c r="F29" s="190">
        <f>+Etrangers!BJ29+Etrangers!BK29</f>
        <v>3</v>
      </c>
    </row>
    <row r="30" spans="1:6" ht="16.5" customHeight="1" x14ac:dyDescent="0.25">
      <c r="A30">
        <f t="shared" si="0"/>
        <v>25</v>
      </c>
      <c r="B30">
        <f t="shared" si="1"/>
        <v>37</v>
      </c>
      <c r="C30" s="70" t="s">
        <v>168</v>
      </c>
      <c r="D30" s="52"/>
      <c r="E30" s="3">
        <f>+Etrangers!AF30+Etrangers!BI30</f>
        <v>0</v>
      </c>
      <c r="F30" s="190">
        <f>+Etrangers!BJ30+Etrangers!BK30</f>
        <v>15</v>
      </c>
    </row>
    <row r="31" spans="1:6" ht="16.5" customHeight="1" x14ac:dyDescent="0.25">
      <c r="A31">
        <f t="shared" si="0"/>
        <v>25</v>
      </c>
      <c r="B31">
        <f t="shared" si="1"/>
        <v>45</v>
      </c>
      <c r="C31" s="70" t="s">
        <v>141</v>
      </c>
      <c r="D31" s="52"/>
      <c r="E31" s="3">
        <f>+Etrangers!AF31+Etrangers!BI31</f>
        <v>0</v>
      </c>
      <c r="F31" s="190">
        <f>+Etrangers!BJ31+Etrangers!BK31</f>
        <v>8</v>
      </c>
    </row>
    <row r="32" spans="1:6" ht="16.5" customHeight="1" x14ac:dyDescent="0.25">
      <c r="A32">
        <f t="shared" si="0"/>
        <v>1</v>
      </c>
      <c r="B32">
        <f t="shared" si="1"/>
        <v>2</v>
      </c>
      <c r="C32" s="70" t="s">
        <v>143</v>
      </c>
      <c r="D32" s="52"/>
      <c r="E32" s="3">
        <f>+Etrangers!AF32+Etrangers!BI32</f>
        <v>427</v>
      </c>
      <c r="F32" s="190">
        <f>+Etrangers!BJ32+Etrangers!BK32</f>
        <v>3325</v>
      </c>
    </row>
    <row r="33" spans="1:6" ht="16.5" customHeight="1" x14ac:dyDescent="0.25">
      <c r="A33">
        <f t="shared" si="0"/>
        <v>20</v>
      </c>
      <c r="B33">
        <f t="shared" si="1"/>
        <v>45</v>
      </c>
      <c r="C33" s="70" t="s">
        <v>179</v>
      </c>
      <c r="D33" s="52"/>
      <c r="E33" s="3">
        <f>+Etrangers!AF33+Etrangers!BI33</f>
        <v>1</v>
      </c>
      <c r="F33" s="190">
        <f>+Etrangers!BJ33+Etrangers!BK33</f>
        <v>8</v>
      </c>
    </row>
    <row r="34" spans="1:6" ht="16.5" customHeight="1" x14ac:dyDescent="0.25">
      <c r="A34">
        <f t="shared" si="0"/>
        <v>20</v>
      </c>
      <c r="B34">
        <f t="shared" si="1"/>
        <v>54</v>
      </c>
      <c r="C34" s="70" t="s">
        <v>145</v>
      </c>
      <c r="D34" s="44"/>
      <c r="E34" s="3">
        <f>+Etrangers!AF34+Etrangers!BI34</f>
        <v>1</v>
      </c>
      <c r="F34" s="190">
        <f>+Etrangers!BJ34+Etrangers!BK34</f>
        <v>5</v>
      </c>
    </row>
    <row r="35" spans="1:6" ht="16.5" customHeight="1" x14ac:dyDescent="0.25">
      <c r="A35">
        <f t="shared" si="0"/>
        <v>25</v>
      </c>
      <c r="B35">
        <f t="shared" si="1"/>
        <v>66</v>
      </c>
      <c r="C35" s="70" t="s">
        <v>189</v>
      </c>
      <c r="D35" s="44"/>
      <c r="E35" s="3">
        <f>+Etrangers!AF35+Etrangers!BI35</f>
        <v>0</v>
      </c>
      <c r="F35" s="190">
        <f>+Etrangers!BJ35+Etrangers!BK35</f>
        <v>2</v>
      </c>
    </row>
    <row r="36" spans="1:6" ht="16.5" customHeight="1" x14ac:dyDescent="0.25">
      <c r="A36">
        <f t="shared" si="0"/>
        <v>3</v>
      </c>
      <c r="B36">
        <f t="shared" si="1"/>
        <v>6</v>
      </c>
      <c r="C36" s="70" t="s">
        <v>147</v>
      </c>
      <c r="D36" s="44"/>
      <c r="E36" s="3">
        <f>+Etrangers!AF36+Etrangers!BI36</f>
        <v>195</v>
      </c>
      <c r="F36" s="190">
        <f>+Etrangers!BJ36+Etrangers!BK36</f>
        <v>1269</v>
      </c>
    </row>
    <row r="37" spans="1:6" ht="16.5" customHeight="1" x14ac:dyDescent="0.25">
      <c r="A37">
        <f t="shared" si="0"/>
        <v>25</v>
      </c>
      <c r="B37">
        <f t="shared" si="1"/>
        <v>25</v>
      </c>
      <c r="C37" s="70" t="s">
        <v>149</v>
      </c>
      <c r="D37" s="52"/>
      <c r="E37" s="3">
        <f>+Etrangers!AF37+Etrangers!BI37</f>
        <v>0</v>
      </c>
      <c r="F37" s="190">
        <f>+Etrangers!BJ37+Etrangers!BK37</f>
        <v>36</v>
      </c>
    </row>
    <row r="38" spans="1:6" ht="16.5" customHeight="1" x14ac:dyDescent="0.25">
      <c r="A38">
        <f t="shared" si="0"/>
        <v>5</v>
      </c>
      <c r="B38">
        <f t="shared" si="1"/>
        <v>15</v>
      </c>
      <c r="C38" s="70" t="s">
        <v>151</v>
      </c>
      <c r="D38" s="44"/>
      <c r="E38" s="3">
        <f>+Etrangers!AF38+Etrangers!BI38</f>
        <v>64</v>
      </c>
      <c r="F38" s="190">
        <f>+Etrangers!BJ38+Etrangers!BK38</f>
        <v>79</v>
      </c>
    </row>
    <row r="39" spans="1:6" ht="16.5" customHeight="1" x14ac:dyDescent="0.25">
      <c r="A39">
        <f t="shared" si="0"/>
        <v>25</v>
      </c>
      <c r="B39">
        <f t="shared" si="1"/>
        <v>24</v>
      </c>
      <c r="C39" s="70" t="s">
        <v>153</v>
      </c>
      <c r="D39" s="52"/>
      <c r="E39" s="3">
        <f>+Etrangers!AF39+Etrangers!BI39</f>
        <v>0</v>
      </c>
      <c r="F39" s="190">
        <f>+Etrangers!BJ39+Etrangers!BK39</f>
        <v>37</v>
      </c>
    </row>
    <row r="40" spans="1:6" ht="16.5" customHeight="1" x14ac:dyDescent="0.25">
      <c r="A40">
        <f t="shared" si="0"/>
        <v>25</v>
      </c>
      <c r="B40">
        <f t="shared" si="1"/>
        <v>45</v>
      </c>
      <c r="C40" s="70" t="s">
        <v>190</v>
      </c>
      <c r="D40" s="44"/>
      <c r="E40" s="3">
        <f>+Etrangers!AF40+Etrangers!BI40</f>
        <v>0</v>
      </c>
      <c r="F40" s="190">
        <f>+Etrangers!BJ40+Etrangers!BK40</f>
        <v>8</v>
      </c>
    </row>
    <row r="41" spans="1:6" ht="16.5" customHeight="1" x14ac:dyDescent="0.25">
      <c r="A41">
        <f t="shared" si="0"/>
        <v>16</v>
      </c>
      <c r="B41">
        <f t="shared" si="1"/>
        <v>23</v>
      </c>
      <c r="C41" s="70" t="s">
        <v>155</v>
      </c>
      <c r="D41" s="44"/>
      <c r="E41" s="3">
        <f>+Etrangers!AF41+Etrangers!BI41</f>
        <v>2</v>
      </c>
      <c r="F41" s="190">
        <f>+Etrangers!BJ41+Etrangers!BK41</f>
        <v>38</v>
      </c>
    </row>
    <row r="42" spans="1:6" ht="16.5" customHeight="1" x14ac:dyDescent="0.25">
      <c r="A42">
        <f t="shared" si="0"/>
        <v>25</v>
      </c>
      <c r="B42">
        <f t="shared" si="1"/>
        <v>59</v>
      </c>
      <c r="C42" s="70" t="s">
        <v>185</v>
      </c>
      <c r="D42" s="44"/>
      <c r="E42" s="3">
        <f>+Etrangers!AF42+Etrangers!BI42</f>
        <v>0</v>
      </c>
      <c r="F42" s="190">
        <f>+Etrangers!BJ42+Etrangers!BK42</f>
        <v>3</v>
      </c>
    </row>
    <row r="43" spans="1:6" ht="16.5" customHeight="1" x14ac:dyDescent="0.25">
      <c r="A43">
        <f t="shared" si="0"/>
        <v>25</v>
      </c>
      <c r="B43">
        <f t="shared" si="1"/>
        <v>53</v>
      </c>
      <c r="C43" s="70" t="s">
        <v>157</v>
      </c>
      <c r="D43" s="44"/>
      <c r="E43" s="3">
        <f>+Etrangers!AF43+Etrangers!BI43</f>
        <v>0</v>
      </c>
      <c r="F43" s="190">
        <f>+Etrangers!BJ43+Etrangers!BK43</f>
        <v>6</v>
      </c>
    </row>
    <row r="44" spans="1:6" ht="16.5" customHeight="1" x14ac:dyDescent="0.25">
      <c r="A44">
        <f t="shared" si="0"/>
        <v>2</v>
      </c>
      <c r="B44">
        <f t="shared" si="1"/>
        <v>1</v>
      </c>
      <c r="C44" s="70" t="s">
        <v>159</v>
      </c>
      <c r="D44" s="44"/>
      <c r="E44" s="3">
        <f>+Etrangers!AF44+Etrangers!BI44</f>
        <v>388</v>
      </c>
      <c r="F44" s="190">
        <f>+Etrangers!BJ44+Etrangers!BK44</f>
        <v>12123</v>
      </c>
    </row>
    <row r="45" spans="1:6" ht="16.5" customHeight="1" x14ac:dyDescent="0.25">
      <c r="A45">
        <f t="shared" si="0"/>
        <v>25</v>
      </c>
      <c r="B45">
        <f t="shared" si="1"/>
        <v>57</v>
      </c>
      <c r="C45" s="180" t="s">
        <v>191</v>
      </c>
      <c r="D45" s="52"/>
      <c r="E45" s="3">
        <f>+Etrangers!CQ5+Etrangers!DT5</f>
        <v>0</v>
      </c>
      <c r="F45" s="190">
        <f>+Etrangers!DU5+Etrangers!DV5</f>
        <v>4</v>
      </c>
    </row>
    <row r="46" spans="1:6" ht="16.5" customHeight="1" x14ac:dyDescent="0.25">
      <c r="A46">
        <f t="shared" si="0"/>
        <v>25</v>
      </c>
      <c r="B46">
        <f t="shared" si="1"/>
        <v>57</v>
      </c>
      <c r="C46" s="70" t="s">
        <v>213</v>
      </c>
      <c r="D46" s="52"/>
      <c r="E46" s="3">
        <f>+Etrangers!CQ6+Etrangers!DT6</f>
        <v>0</v>
      </c>
      <c r="F46" s="190">
        <f>+Etrangers!DU6+Etrangers!DV6</f>
        <v>4</v>
      </c>
    </row>
    <row r="47" spans="1:6" ht="16.5" customHeight="1" x14ac:dyDescent="0.25">
      <c r="A47">
        <f t="shared" si="0"/>
        <v>25</v>
      </c>
      <c r="B47">
        <f t="shared" si="1"/>
        <v>66</v>
      </c>
      <c r="C47" s="70" t="s">
        <v>214</v>
      </c>
      <c r="D47" s="52"/>
      <c r="E47" s="3">
        <f>+Etrangers!CQ7+Etrangers!DT7</f>
        <v>0</v>
      </c>
      <c r="F47" s="190">
        <f>+Etrangers!DU7+Etrangers!DV7</f>
        <v>2</v>
      </c>
    </row>
    <row r="48" spans="1:6" ht="16.5" customHeight="1" x14ac:dyDescent="0.25">
      <c r="A48">
        <f t="shared" si="0"/>
        <v>25</v>
      </c>
      <c r="B48">
        <f t="shared" si="1"/>
        <v>69</v>
      </c>
      <c r="C48" s="180" t="s">
        <v>224</v>
      </c>
      <c r="D48" s="52"/>
      <c r="E48" s="3">
        <f>+Etrangers!CQ8+Etrangers!DT8</f>
        <v>0</v>
      </c>
      <c r="F48" s="190">
        <f>+Etrangers!DU8+Etrangers!DV8</f>
        <v>1</v>
      </c>
    </row>
    <row r="49" spans="1:6" ht="16.5" customHeight="1" x14ac:dyDescent="0.25">
      <c r="A49">
        <f t="shared" si="0"/>
        <v>25</v>
      </c>
      <c r="B49">
        <f t="shared" si="1"/>
        <v>52</v>
      </c>
      <c r="C49" s="70" t="s">
        <v>161</v>
      </c>
      <c r="D49" s="52"/>
      <c r="E49" s="3">
        <f>+Etrangers!CQ9+Etrangers!DT9</f>
        <v>0</v>
      </c>
      <c r="F49" s="190">
        <f>+Etrangers!DU9+Etrangers!DV9</f>
        <v>7</v>
      </c>
    </row>
    <row r="50" spans="1:6" ht="16.5" customHeight="1" x14ac:dyDescent="0.25">
      <c r="A50">
        <f t="shared" si="0"/>
        <v>25</v>
      </c>
      <c r="B50">
        <f t="shared" si="1"/>
        <v>59</v>
      </c>
      <c r="C50" s="70" t="s">
        <v>186</v>
      </c>
      <c r="D50" s="44"/>
      <c r="E50" s="3">
        <f>+Etrangers!CQ10+Etrangers!DT10</f>
        <v>0</v>
      </c>
      <c r="F50" s="190">
        <f>+Etrangers!DU10+Etrangers!DV10</f>
        <v>3</v>
      </c>
    </row>
    <row r="51" spans="1:6" ht="16.5" customHeight="1" x14ac:dyDescent="0.25">
      <c r="A51">
        <f t="shared" si="0"/>
        <v>25</v>
      </c>
      <c r="B51">
        <f t="shared" si="1"/>
        <v>36</v>
      </c>
      <c r="C51" s="70" t="s">
        <v>163</v>
      </c>
      <c r="D51" s="44"/>
      <c r="E51" s="3">
        <f>+Etrangers!CQ11+Etrangers!DT11</f>
        <v>0</v>
      </c>
      <c r="F51" s="190">
        <f>+Etrangers!DU11+Etrangers!DV11</f>
        <v>16</v>
      </c>
    </row>
    <row r="52" spans="1:6" ht="16.5" customHeight="1" x14ac:dyDescent="0.25">
      <c r="A52">
        <f t="shared" si="0"/>
        <v>25</v>
      </c>
      <c r="B52">
        <f t="shared" si="1"/>
        <v>69</v>
      </c>
      <c r="C52" s="70" t="s">
        <v>182</v>
      </c>
      <c r="D52" s="44"/>
      <c r="E52" s="3">
        <f>+Etrangers!CQ12+Etrangers!DT12</f>
        <v>0</v>
      </c>
      <c r="F52" s="190">
        <f>+Etrangers!DU12+Etrangers!DV12</f>
        <v>1</v>
      </c>
    </row>
    <row r="53" spans="1:6" ht="16.5" customHeight="1" x14ac:dyDescent="0.25">
      <c r="A53">
        <f t="shared" si="0"/>
        <v>25</v>
      </c>
      <c r="B53">
        <f t="shared" si="1"/>
        <v>20</v>
      </c>
      <c r="C53" s="70" t="s">
        <v>122</v>
      </c>
      <c r="D53" s="44"/>
      <c r="E53" s="3">
        <f>+Etrangers!CQ13+Etrangers!DT13</f>
        <v>0</v>
      </c>
      <c r="F53" s="190">
        <f>+Etrangers!DU13+Etrangers!DV13</f>
        <v>53</v>
      </c>
    </row>
    <row r="54" spans="1:6" ht="16.5" customHeight="1" x14ac:dyDescent="0.25">
      <c r="A54">
        <f t="shared" si="0"/>
        <v>25</v>
      </c>
      <c r="B54">
        <f t="shared" si="1"/>
        <v>30</v>
      </c>
      <c r="C54" s="70" t="s">
        <v>124</v>
      </c>
      <c r="D54" s="52"/>
      <c r="E54" s="3">
        <f>+Etrangers!CQ14+Etrangers!DT14</f>
        <v>0</v>
      </c>
      <c r="F54" s="190">
        <f>+Etrangers!DU14+Etrangers!DV14</f>
        <v>25</v>
      </c>
    </row>
    <row r="55" spans="1:6" ht="16.5" customHeight="1" x14ac:dyDescent="0.25">
      <c r="A55">
        <f t="shared" si="0"/>
        <v>25</v>
      </c>
      <c r="B55">
        <f t="shared" si="1"/>
        <v>16</v>
      </c>
      <c r="C55" s="70" t="s">
        <v>126</v>
      </c>
      <c r="D55" s="44"/>
      <c r="E55" s="3">
        <f>+Etrangers!CQ15+Etrangers!DT15</f>
        <v>0</v>
      </c>
      <c r="F55" s="190">
        <f>+Etrangers!DU15+Etrangers!DV15</f>
        <v>75</v>
      </c>
    </row>
    <row r="56" spans="1:6" ht="16.5" customHeight="1" x14ac:dyDescent="0.25">
      <c r="A56">
        <f t="shared" si="0"/>
        <v>20</v>
      </c>
      <c r="B56">
        <f t="shared" si="1"/>
        <v>35</v>
      </c>
      <c r="C56" s="70" t="s">
        <v>128</v>
      </c>
      <c r="D56" s="44"/>
      <c r="E56" s="3">
        <f>+Etrangers!CQ16+Etrangers!DT16</f>
        <v>1</v>
      </c>
      <c r="F56" s="190">
        <f>+Etrangers!DU16+Etrangers!DV16</f>
        <v>17</v>
      </c>
    </row>
    <row r="57" spans="1:6" ht="16.5" customHeight="1" x14ac:dyDescent="0.25">
      <c r="A57">
        <f t="shared" si="0"/>
        <v>25</v>
      </c>
      <c r="B57">
        <f t="shared" si="1"/>
        <v>69</v>
      </c>
      <c r="C57" s="70" t="s">
        <v>194</v>
      </c>
      <c r="D57" s="52"/>
      <c r="E57" s="3">
        <f>+Etrangers!CQ17+Etrangers!DT17</f>
        <v>0</v>
      </c>
      <c r="F57" s="190">
        <f>+Etrangers!DU17+Etrangers!DV17</f>
        <v>1</v>
      </c>
    </row>
    <row r="58" spans="1:6" ht="16.5" customHeight="1" x14ac:dyDescent="0.25">
      <c r="A58">
        <f t="shared" si="0"/>
        <v>25</v>
      </c>
      <c r="B58">
        <f t="shared" si="1"/>
        <v>69</v>
      </c>
      <c r="C58" s="70" t="s">
        <v>180</v>
      </c>
      <c r="D58" s="44"/>
      <c r="E58" s="3">
        <f>+Etrangers!CQ18+Etrangers!DT18</f>
        <v>0</v>
      </c>
      <c r="F58" s="190">
        <f>+Etrangers!DU18+Etrangers!DV18</f>
        <v>1</v>
      </c>
    </row>
    <row r="59" spans="1:6" ht="16.5" customHeight="1" x14ac:dyDescent="0.25">
      <c r="A59">
        <f t="shared" si="0"/>
        <v>25</v>
      </c>
      <c r="B59">
        <f t="shared" si="1"/>
        <v>45</v>
      </c>
      <c r="C59" s="70" t="s">
        <v>130</v>
      </c>
      <c r="D59" s="44"/>
      <c r="E59" s="3">
        <f>+Etrangers!CQ19+Etrangers!DT19</f>
        <v>0</v>
      </c>
      <c r="F59" s="190">
        <f>+Etrangers!DU19+Etrangers!DV19</f>
        <v>8</v>
      </c>
    </row>
    <row r="60" spans="1:6" ht="16.5" customHeight="1" x14ac:dyDescent="0.25">
      <c r="A60">
        <f t="shared" si="0"/>
        <v>25</v>
      </c>
      <c r="B60">
        <f t="shared" si="1"/>
        <v>38</v>
      </c>
      <c r="C60" s="70" t="s">
        <v>132</v>
      </c>
      <c r="D60" s="52"/>
      <c r="E60" s="3">
        <f>+Etrangers!CQ20+Etrangers!DT20</f>
        <v>0</v>
      </c>
      <c r="F60" s="190">
        <f>+Etrangers!DU20+Etrangers!DV20</f>
        <v>12</v>
      </c>
    </row>
    <row r="61" spans="1:6" ht="16.5" customHeight="1" x14ac:dyDescent="0.25">
      <c r="A61">
        <f t="shared" si="0"/>
        <v>20</v>
      </c>
      <c r="B61">
        <f t="shared" si="1"/>
        <v>10</v>
      </c>
      <c r="C61" s="70" t="s">
        <v>134</v>
      </c>
      <c r="D61" s="52"/>
      <c r="E61" s="3">
        <f>+Etrangers!CQ21+Etrangers!DT21</f>
        <v>1</v>
      </c>
      <c r="F61" s="190">
        <f>+Etrangers!DU21+Etrangers!DV21</f>
        <v>241</v>
      </c>
    </row>
    <row r="62" spans="1:6" ht="16.5" customHeight="1" x14ac:dyDescent="0.25">
      <c r="A62">
        <f t="shared" si="0"/>
        <v>25</v>
      </c>
      <c r="B62">
        <f t="shared" si="1"/>
        <v>59</v>
      </c>
      <c r="C62" s="70" t="s">
        <v>183</v>
      </c>
      <c r="D62" s="52"/>
      <c r="E62" s="3">
        <f>+Etrangers!CQ22+Etrangers!DT22</f>
        <v>0</v>
      </c>
      <c r="F62" s="190">
        <f>+Etrangers!DU22+Etrangers!DV22</f>
        <v>3</v>
      </c>
    </row>
    <row r="63" spans="1:6" ht="16.5" customHeight="1" x14ac:dyDescent="0.25">
      <c r="A63">
        <f t="shared" si="0"/>
        <v>16</v>
      </c>
      <c r="B63">
        <f t="shared" si="1"/>
        <v>9</v>
      </c>
      <c r="C63" s="70" t="s">
        <v>136</v>
      </c>
      <c r="D63" s="44"/>
      <c r="E63" s="3">
        <f>+Etrangers!CQ23+Etrangers!DT23</f>
        <v>2</v>
      </c>
      <c r="F63" s="190">
        <f>+Etrangers!DU23+Etrangers!DV23</f>
        <v>267</v>
      </c>
    </row>
    <row r="64" spans="1:6" ht="16.5" customHeight="1" x14ac:dyDescent="0.25">
      <c r="A64">
        <f t="shared" si="0"/>
        <v>14</v>
      </c>
      <c r="B64">
        <f t="shared" si="1"/>
        <v>8</v>
      </c>
      <c r="C64" s="70" t="s">
        <v>138</v>
      </c>
      <c r="D64" s="44"/>
      <c r="E64" s="3">
        <f>+Etrangers!CQ24+Etrangers!DT24</f>
        <v>4</v>
      </c>
      <c r="F64" s="190">
        <f>+Etrangers!DU24+Etrangers!DV24</f>
        <v>334</v>
      </c>
    </row>
    <row r="65" spans="1:6" ht="16.5" customHeight="1" x14ac:dyDescent="0.25">
      <c r="A65">
        <f t="shared" si="0"/>
        <v>25</v>
      </c>
      <c r="B65">
        <f t="shared" si="1"/>
        <v>69</v>
      </c>
      <c r="C65" s="70" t="s">
        <v>222</v>
      </c>
      <c r="D65" s="174"/>
      <c r="E65" s="3">
        <f>+Etrangers!CQ25+Etrangers!DT25</f>
        <v>0</v>
      </c>
      <c r="F65" s="190">
        <f>+Etrangers!DU25+Etrangers!DV25</f>
        <v>1</v>
      </c>
    </row>
    <row r="66" spans="1:6" ht="16.5" customHeight="1" x14ac:dyDescent="0.25">
      <c r="A66">
        <f t="shared" si="0"/>
        <v>25</v>
      </c>
      <c r="B66">
        <f t="shared" si="1"/>
        <v>26</v>
      </c>
      <c r="C66" s="70" t="s">
        <v>142</v>
      </c>
      <c r="D66" s="52"/>
      <c r="E66" s="3">
        <f>+Etrangers!CQ26+Etrangers!DT26</f>
        <v>0</v>
      </c>
      <c r="F66" s="190">
        <f>+Etrangers!DU26+Etrangers!DV26</f>
        <v>34</v>
      </c>
    </row>
    <row r="67" spans="1:6" ht="16.5" customHeight="1" x14ac:dyDescent="0.25">
      <c r="A67">
        <f t="shared" si="0"/>
        <v>25</v>
      </c>
      <c r="B67">
        <f t="shared" si="1"/>
        <v>42</v>
      </c>
      <c r="C67" s="70" t="s">
        <v>140</v>
      </c>
      <c r="D67" s="52"/>
      <c r="E67" s="3">
        <f>+Etrangers!CQ27+Etrangers!DT27</f>
        <v>0</v>
      </c>
      <c r="F67" s="190">
        <f>+Etrangers!DU27+Etrangers!DV27</f>
        <v>10</v>
      </c>
    </row>
    <row r="68" spans="1:6" ht="16.5" customHeight="1" x14ac:dyDescent="0.25">
      <c r="A68">
        <f t="shared" ref="A68:A83" si="2">RANK(E68,$E$4:$E$84)</f>
        <v>25</v>
      </c>
      <c r="B68">
        <f t="shared" ref="B68:B83" si="3">RANK(F68,$F$4:$F$84)</f>
        <v>14</v>
      </c>
      <c r="C68" s="70" t="s">
        <v>193</v>
      </c>
      <c r="D68" s="52"/>
      <c r="E68" s="3">
        <f>+Etrangers!CQ28+Etrangers!DT28</f>
        <v>0</v>
      </c>
      <c r="F68" s="190">
        <f>+Etrangers!DU28+Etrangers!DV28</f>
        <v>82</v>
      </c>
    </row>
    <row r="69" spans="1:6" ht="16.5" customHeight="1" x14ac:dyDescent="0.25">
      <c r="A69">
        <f t="shared" si="2"/>
        <v>12</v>
      </c>
      <c r="B69">
        <f t="shared" si="3"/>
        <v>45</v>
      </c>
      <c r="C69" s="70" t="s">
        <v>171</v>
      </c>
      <c r="D69" s="44"/>
      <c r="E69" s="3">
        <f>+Etrangers!CQ29+Etrangers!DT29</f>
        <v>6</v>
      </c>
      <c r="F69" s="190">
        <f>+Etrangers!DU29+Etrangers!DV29</f>
        <v>8</v>
      </c>
    </row>
    <row r="70" spans="1:6" ht="16.5" customHeight="1" x14ac:dyDescent="0.25">
      <c r="A70">
        <f t="shared" si="2"/>
        <v>25</v>
      </c>
      <c r="B70">
        <f t="shared" si="3"/>
        <v>66</v>
      </c>
      <c r="C70" s="70" t="s">
        <v>202</v>
      </c>
      <c r="D70" s="52"/>
      <c r="E70" s="3">
        <f>+Etrangers!CQ30+Etrangers!DT30</f>
        <v>0</v>
      </c>
      <c r="F70" s="190">
        <f>+Etrangers!DU30+Etrangers!DV30</f>
        <v>2</v>
      </c>
    </row>
    <row r="71" spans="1:6" ht="16.5" customHeight="1" x14ac:dyDescent="0.25">
      <c r="A71">
        <f t="shared" si="2"/>
        <v>25</v>
      </c>
      <c r="B71">
        <f t="shared" si="3"/>
        <v>13</v>
      </c>
      <c r="C71" s="70" t="s">
        <v>181</v>
      </c>
      <c r="D71" s="52"/>
      <c r="E71" s="3">
        <f>+Etrangers!CQ31+Etrangers!DT31</f>
        <v>0</v>
      </c>
      <c r="F71" s="190">
        <f>+Etrangers!DU31+Etrangers!DV31</f>
        <v>94</v>
      </c>
    </row>
    <row r="72" spans="1:6" ht="16.5" customHeight="1" x14ac:dyDescent="0.25">
      <c r="A72">
        <f t="shared" si="2"/>
        <v>7</v>
      </c>
      <c r="B72">
        <f t="shared" si="3"/>
        <v>19</v>
      </c>
      <c r="C72" s="70" t="s">
        <v>172</v>
      </c>
      <c r="D72" s="44"/>
      <c r="E72" s="3">
        <f>+Etrangers!CQ32+Etrangers!DT32</f>
        <v>40</v>
      </c>
      <c r="F72" s="190">
        <f>+Etrangers!DU32+Etrangers!DV32</f>
        <v>56</v>
      </c>
    </row>
    <row r="73" spans="1:6" ht="16.5" customHeight="1" x14ac:dyDescent="0.25">
      <c r="A73">
        <f t="shared" si="2"/>
        <v>9</v>
      </c>
      <c r="B73">
        <f t="shared" si="3"/>
        <v>20</v>
      </c>
      <c r="C73" s="70" t="s">
        <v>144</v>
      </c>
      <c r="D73" s="44"/>
      <c r="E73" s="3">
        <f>+Etrangers!CQ33+Etrangers!DT33</f>
        <v>12</v>
      </c>
      <c r="F73" s="190">
        <f>+Etrangers!DU33+Etrangers!DV33</f>
        <v>53</v>
      </c>
    </row>
    <row r="74" spans="1:6" ht="16.5" customHeight="1" x14ac:dyDescent="0.25">
      <c r="A74">
        <f t="shared" si="2"/>
        <v>16</v>
      </c>
      <c r="B74">
        <f t="shared" si="3"/>
        <v>7</v>
      </c>
      <c r="C74" s="70" t="s">
        <v>146</v>
      </c>
      <c r="D74" s="44"/>
      <c r="E74" s="3">
        <f>+Etrangers!CQ34+Etrangers!DT34</f>
        <v>2</v>
      </c>
      <c r="F74" s="190">
        <f>+Etrangers!DU34+Etrangers!DV34</f>
        <v>1088</v>
      </c>
    </row>
    <row r="75" spans="1:6" ht="16.5" customHeight="1" x14ac:dyDescent="0.25">
      <c r="A75">
        <f t="shared" si="2"/>
        <v>25</v>
      </c>
      <c r="B75">
        <f t="shared" si="3"/>
        <v>54</v>
      </c>
      <c r="C75" s="70" t="s">
        <v>148</v>
      </c>
      <c r="D75" s="52"/>
      <c r="E75" s="3">
        <f>+Etrangers!CQ35+Etrangers!DT35</f>
        <v>0</v>
      </c>
      <c r="F75" s="190">
        <f>+Etrangers!DU35+Etrangers!DV35</f>
        <v>5</v>
      </c>
    </row>
    <row r="76" spans="1:6" ht="16.5" customHeight="1" x14ac:dyDescent="0.25">
      <c r="A76">
        <f t="shared" si="2"/>
        <v>20</v>
      </c>
      <c r="B76">
        <f t="shared" si="3"/>
        <v>5</v>
      </c>
      <c r="C76" s="70" t="s">
        <v>216</v>
      </c>
      <c r="D76" s="52"/>
      <c r="E76" s="3">
        <f>+Etrangers!CQ36+Etrangers!DT36</f>
        <v>1</v>
      </c>
      <c r="F76" s="190">
        <f>+Etrangers!DU36+Etrangers!DV36</f>
        <v>1398</v>
      </c>
    </row>
    <row r="77" spans="1:6" ht="16.5" customHeight="1" x14ac:dyDescent="0.25">
      <c r="A77">
        <f t="shared" si="2"/>
        <v>25</v>
      </c>
      <c r="B77">
        <f t="shared" si="3"/>
        <v>69</v>
      </c>
      <c r="C77" s="70" t="s">
        <v>215</v>
      </c>
      <c r="D77" s="52"/>
      <c r="E77" s="3">
        <f>+Etrangers!CQ37+Etrangers!DT37</f>
        <v>0</v>
      </c>
      <c r="F77" s="190">
        <f>+Etrangers!DU37+Etrangers!DV37</f>
        <v>1</v>
      </c>
    </row>
    <row r="78" spans="1:6" ht="16.5" customHeight="1" x14ac:dyDescent="0.25">
      <c r="A78">
        <f t="shared" si="2"/>
        <v>25</v>
      </c>
      <c r="B78">
        <f t="shared" si="3"/>
        <v>69</v>
      </c>
      <c r="C78" s="70" t="s">
        <v>223</v>
      </c>
      <c r="D78" s="52"/>
      <c r="E78" s="3">
        <f>+Etrangers!CQ38+Etrangers!DT38</f>
        <v>0</v>
      </c>
      <c r="F78" s="190">
        <f>+Etrangers!DU38+Etrangers!DV38</f>
        <v>1</v>
      </c>
    </row>
    <row r="79" spans="1:6" ht="16.5" customHeight="1" x14ac:dyDescent="0.25">
      <c r="A79">
        <f t="shared" si="2"/>
        <v>25</v>
      </c>
      <c r="B79">
        <f t="shared" si="3"/>
        <v>45</v>
      </c>
      <c r="C79" s="70" t="s">
        <v>152</v>
      </c>
      <c r="D79" s="52"/>
      <c r="E79" s="3">
        <f>+Etrangers!CQ39+Etrangers!DT39</f>
        <v>0</v>
      </c>
      <c r="F79" s="190">
        <f>+Etrangers!DU39+Etrangers!DV39</f>
        <v>8</v>
      </c>
    </row>
    <row r="80" spans="1:6" ht="16.5" customHeight="1" x14ac:dyDescent="0.25">
      <c r="A80">
        <f t="shared" si="2"/>
        <v>10</v>
      </c>
      <c r="B80">
        <f t="shared" si="3"/>
        <v>28</v>
      </c>
      <c r="C80" s="70" t="s">
        <v>154</v>
      </c>
      <c r="D80" s="52"/>
      <c r="E80" s="3">
        <f>+Etrangers!CQ40+Etrangers!DT40</f>
        <v>9</v>
      </c>
      <c r="F80" s="190">
        <f>+Etrangers!DU40+Etrangers!DV40</f>
        <v>29</v>
      </c>
    </row>
    <row r="81" spans="1:6" ht="16.5" customHeight="1" x14ac:dyDescent="0.25">
      <c r="A81">
        <f t="shared" si="2"/>
        <v>25</v>
      </c>
      <c r="B81">
        <f t="shared" si="3"/>
        <v>41</v>
      </c>
      <c r="C81" s="70" t="s">
        <v>221</v>
      </c>
      <c r="D81" s="52"/>
      <c r="E81" s="3">
        <f>+Etrangers!CQ41+Etrangers!DT41</f>
        <v>0</v>
      </c>
      <c r="F81" s="190">
        <f>+Etrangers!DU41+Etrangers!DV41</f>
        <v>11</v>
      </c>
    </row>
    <row r="82" spans="1:6" x14ac:dyDescent="0.25">
      <c r="A82">
        <f t="shared" si="2"/>
        <v>15</v>
      </c>
      <c r="B82">
        <f t="shared" si="3"/>
        <v>12</v>
      </c>
      <c r="C82" s="70" t="s">
        <v>158</v>
      </c>
      <c r="D82"/>
      <c r="E82" s="3">
        <f>+Etrangers!CQ42+Etrangers!DT42</f>
        <v>3</v>
      </c>
      <c r="F82" s="190">
        <f>+Etrangers!DU42+Etrangers!DV42</f>
        <v>186</v>
      </c>
    </row>
    <row r="83" spans="1:6" x14ac:dyDescent="0.25">
      <c r="A83">
        <f t="shared" si="2"/>
        <v>25</v>
      </c>
      <c r="B83">
        <f t="shared" si="3"/>
        <v>45</v>
      </c>
      <c r="C83" s="70" t="s">
        <v>160</v>
      </c>
      <c r="D83"/>
      <c r="E83" s="3">
        <f>+Etrangers!CQ43+Etrangers!DT43</f>
        <v>0</v>
      </c>
      <c r="F83" s="190">
        <f>+Etrangers!DU43+Etrangers!DV43</f>
        <v>8</v>
      </c>
    </row>
    <row r="84" spans="1:6" x14ac:dyDescent="0.25">
      <c r="A84">
        <f>RANK(E84,$E$4:$E$84)</f>
        <v>25</v>
      </c>
      <c r="B84">
        <f>RANK(F84,$F$4:$F$84)</f>
        <v>54</v>
      </c>
      <c r="C84" t="s">
        <v>162</v>
      </c>
      <c r="D84"/>
      <c r="E84" s="3">
        <f>+Etrangers!CQ44+Etrangers!DT44</f>
        <v>0</v>
      </c>
      <c r="F84" s="190">
        <f>+Etrangers!DU44+Etrangers!DV44</f>
        <v>5</v>
      </c>
    </row>
    <row r="85" spans="1:6" x14ac:dyDescent="0.25">
      <c r="C85"/>
      <c r="D85"/>
      <c r="E85"/>
    </row>
    <row r="86" spans="1:6" x14ac:dyDescent="0.25">
      <c r="D86"/>
    </row>
    <row r="87" spans="1:6" x14ac:dyDescent="0.25">
      <c r="D87"/>
    </row>
    <row r="88" spans="1:6" x14ac:dyDescent="0.25">
      <c r="D88"/>
      <c r="E88" s="68"/>
    </row>
    <row r="89" spans="1:6" x14ac:dyDescent="0.25">
      <c r="D89"/>
    </row>
    <row r="90" spans="1:6" x14ac:dyDescent="0.25">
      <c r="D90"/>
    </row>
    <row r="91" spans="1:6" x14ac:dyDescent="0.25">
      <c r="D91"/>
    </row>
    <row r="92" spans="1:6" x14ac:dyDescent="0.25">
      <c r="D92"/>
    </row>
    <row r="93" spans="1:6" x14ac:dyDescent="0.25">
      <c r="D93"/>
    </row>
    <row r="94" spans="1:6" x14ac:dyDescent="0.25">
      <c r="D94"/>
    </row>
    <row r="95" spans="1:6" x14ac:dyDescent="0.25">
      <c r="D95"/>
    </row>
    <row r="96" spans="1:6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</sheetData>
  <phoneticPr fontId="5" type="noConversion"/>
  <printOptions horizontalCentered="1"/>
  <pageMargins left="0" right="0" top="0.68" bottom="0" header="0.14000000000000001" footer="0.25"/>
  <pageSetup paperSize="9" orientation="portrait" horizontalDpi="300" verticalDpi="300" r:id="rId1"/>
  <headerFooter alignWithMargins="0">
    <oddHeader>&amp;C&amp;"Book Antiqua,Normal"&amp;14&amp;EFICHIER CADRANS SOLAIRES ÉTRANGERS
2007</oddHeader>
    <oddFooter>&amp;L&amp;8Ajustement = Disparus, doublons ou restaurés&amp;R&amp;9&amp;D - S.GREGORI (01 39 74 49 29)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3"/>
  <sheetViews>
    <sheetView workbookViewId="0">
      <selection activeCell="I5" sqref="I5"/>
    </sheetView>
  </sheetViews>
  <sheetFormatPr baseColWidth="10" defaultRowHeight="13.2" x14ac:dyDescent="0.25"/>
  <cols>
    <col min="1" max="1" width="2.6640625" style="2" customWidth="1"/>
    <col min="5" max="5" width="3.5546875" style="2" customWidth="1"/>
    <col min="9" max="9" width="38.5546875" customWidth="1"/>
  </cols>
  <sheetData>
    <row r="1" spans="1:8" x14ac:dyDescent="0.25">
      <c r="D1" s="221" t="s">
        <v>227</v>
      </c>
      <c r="E1" s="171" t="str">
        <f>"  "&amp;TEXT(Etrangers!DU45+Etrangers!DV45+Base!FM56+Base!FN56,"# ##0")&amp;"   CS inscrits au fichier SAF"</f>
        <v xml:space="preserve">  60 101   CS inscrits au fichier SAF</v>
      </c>
      <c r="F1" s="172"/>
    </row>
    <row r="2" spans="1:8" x14ac:dyDescent="0.25">
      <c r="D2" s="78" t="s">
        <v>164</v>
      </c>
      <c r="E2" s="171" t="str">
        <f>"  "&amp;TEXT((Base!FM56+Base!FN56),"# ##0")&amp;"   Français   (après ajustements)"</f>
        <v xml:space="preserve">  34 343   Français   (après ajustements)</v>
      </c>
      <c r="F2" s="172"/>
    </row>
    <row r="3" spans="1:8" x14ac:dyDescent="0.25">
      <c r="D3" s="78" t="s">
        <v>165</v>
      </c>
      <c r="E3" s="171" t="str">
        <f>"  "&amp;TEXT(Etrangers!DU45+Etrangers!DV45,"# ##0")&amp;"   Etrangers    (après ajustements)"</f>
        <v xml:space="preserve">  25 758   Etrangers    (après ajustements)</v>
      </c>
      <c r="F3" s="172"/>
    </row>
    <row r="5" spans="1:8" ht="15.6" x14ac:dyDescent="0.3">
      <c r="B5" s="79" t="str">
        <f>"En 2023, il a été fiché "&amp;TEXT((Base!EG56+Base!FJ56),"000")&amp;" nouveaux cadrans français"</f>
        <v>En 2023, il a été fiché 512 nouveaux cadrans français</v>
      </c>
      <c r="C5" s="79"/>
      <c r="D5" s="79"/>
      <c r="E5" s="80"/>
      <c r="F5" s="79"/>
      <c r="G5" s="79"/>
      <c r="H5" s="79"/>
    </row>
    <row r="6" spans="1:8" ht="7.5" customHeight="1" thickBot="1" x14ac:dyDescent="0.3"/>
    <row r="7" spans="1:8" x14ac:dyDescent="0.25">
      <c r="D7" s="81" t="s">
        <v>166</v>
      </c>
      <c r="H7" s="81" t="s">
        <v>166</v>
      </c>
    </row>
    <row r="8" spans="1:8" ht="13.8" thickBot="1" x14ac:dyDescent="0.3">
      <c r="D8" s="82">
        <v>2023</v>
      </c>
      <c r="H8" s="82">
        <v>2023</v>
      </c>
    </row>
    <row r="9" spans="1:8" x14ac:dyDescent="0.25">
      <c r="A9" s="83">
        <v>14</v>
      </c>
      <c r="B9" s="84" t="s">
        <v>18</v>
      </c>
      <c r="C9" s="84"/>
      <c r="D9" s="202">
        <f>VLOOKUP(B9,BaseA,82,0)</f>
        <v>77</v>
      </c>
      <c r="E9" s="85"/>
      <c r="F9" s="86" t="s">
        <v>104</v>
      </c>
      <c r="G9" s="84"/>
      <c r="H9" s="233">
        <f>+D61</f>
        <v>456</v>
      </c>
    </row>
    <row r="10" spans="1:8" x14ac:dyDescent="0.25">
      <c r="A10" s="87">
        <v>34</v>
      </c>
      <c r="B10" s="2" t="s">
        <v>37</v>
      </c>
      <c r="C10" s="2"/>
      <c r="D10" s="203">
        <f>VLOOKUP(B10,BaseA,82,0)</f>
        <v>50</v>
      </c>
      <c r="E10" s="87">
        <v>12</v>
      </c>
      <c r="F10" s="2" t="s">
        <v>16</v>
      </c>
      <c r="H10" s="204">
        <f>VLOOKUP(F10,BaseA,82,0)</f>
        <v>2</v>
      </c>
    </row>
    <row r="11" spans="1:8" x14ac:dyDescent="0.25">
      <c r="A11" s="87">
        <v>38</v>
      </c>
      <c r="B11" s="2" t="s">
        <v>41</v>
      </c>
      <c r="C11" s="2"/>
      <c r="D11" s="203">
        <f>VLOOKUP(B11,BaseA,82,0)</f>
        <v>28</v>
      </c>
      <c r="E11" s="87">
        <v>27</v>
      </c>
      <c r="F11" s="2" t="s">
        <v>30</v>
      </c>
      <c r="G11" s="2"/>
      <c r="H11" s="204">
        <f>VLOOKUP(F11,BaseA,82,0)</f>
        <v>2</v>
      </c>
    </row>
    <row r="12" spans="1:8" x14ac:dyDescent="0.25">
      <c r="A12" s="87">
        <v>4</v>
      </c>
      <c r="B12" s="2" t="s">
        <v>8</v>
      </c>
      <c r="D12" s="203">
        <f>VLOOKUP(B12,BaseA,82,0)</f>
        <v>24</v>
      </c>
      <c r="E12" s="87">
        <v>32</v>
      </c>
      <c r="F12" s="2" t="s">
        <v>35</v>
      </c>
      <c r="G12" s="2"/>
      <c r="H12" s="204">
        <f>VLOOKUP(F12,BaseA,82,0)</f>
        <v>2</v>
      </c>
    </row>
    <row r="13" spans="1:8" x14ac:dyDescent="0.25">
      <c r="A13" s="87">
        <v>37</v>
      </c>
      <c r="B13" s="2" t="s">
        <v>40</v>
      </c>
      <c r="D13" s="204">
        <f>VLOOKUP(B13,BaseA,82,0)</f>
        <v>23</v>
      </c>
      <c r="E13" s="87">
        <v>33</v>
      </c>
      <c r="F13" s="2" t="s">
        <v>36</v>
      </c>
      <c r="G13" s="2"/>
      <c r="H13" s="204">
        <f>VLOOKUP(F13,BaseA,82,0)</f>
        <v>2</v>
      </c>
    </row>
    <row r="14" spans="1:8" x14ac:dyDescent="0.25">
      <c r="A14" s="87">
        <v>89</v>
      </c>
      <c r="B14" s="2" t="s">
        <v>92</v>
      </c>
      <c r="D14" s="203">
        <f>VLOOKUP(B14,BaseA,82,0)</f>
        <v>17</v>
      </c>
      <c r="E14" s="87">
        <v>40</v>
      </c>
      <c r="F14" s="2" t="s">
        <v>43</v>
      </c>
      <c r="G14" s="2"/>
      <c r="H14" s="204">
        <f>VLOOKUP(F14,BaseA,82,0)</f>
        <v>2</v>
      </c>
    </row>
    <row r="15" spans="1:8" x14ac:dyDescent="0.25">
      <c r="A15" s="87">
        <v>51</v>
      </c>
      <c r="B15" s="2" t="s">
        <v>54</v>
      </c>
      <c r="C15" s="2"/>
      <c r="D15" s="203">
        <f>VLOOKUP(B15,BaseA,82,0)</f>
        <v>15</v>
      </c>
      <c r="E15" s="87">
        <v>41</v>
      </c>
      <c r="F15" s="2" t="s">
        <v>44</v>
      </c>
      <c r="H15" s="204">
        <f>VLOOKUP(F15,BaseA,82,0)</f>
        <v>2</v>
      </c>
    </row>
    <row r="16" spans="1:8" x14ac:dyDescent="0.25">
      <c r="A16" s="87">
        <v>29</v>
      </c>
      <c r="B16" s="2" t="s">
        <v>32</v>
      </c>
      <c r="C16" s="2"/>
      <c r="D16" s="203">
        <f>VLOOKUP(B16,BaseA,82,0)</f>
        <v>14</v>
      </c>
      <c r="E16" s="87">
        <v>54</v>
      </c>
      <c r="F16" s="2" t="s">
        <v>57</v>
      </c>
      <c r="H16" s="204">
        <f>VLOOKUP(F16,BaseA,82,0)</f>
        <v>2</v>
      </c>
    </row>
    <row r="17" spans="1:8" x14ac:dyDescent="0.25">
      <c r="A17" s="87">
        <v>84</v>
      </c>
      <c r="B17" s="2" t="s">
        <v>87</v>
      </c>
      <c r="D17" s="204">
        <f>VLOOKUP(B17,BaseA,82,0)</f>
        <v>13</v>
      </c>
      <c r="E17" s="87">
        <v>58</v>
      </c>
      <c r="F17" s="2" t="s">
        <v>61</v>
      </c>
      <c r="H17" s="204">
        <f>VLOOKUP(F17,BaseA,82,0)</f>
        <v>2</v>
      </c>
    </row>
    <row r="18" spans="1:8" x14ac:dyDescent="0.25">
      <c r="A18" s="87">
        <v>50</v>
      </c>
      <c r="B18" s="2" t="s">
        <v>53</v>
      </c>
      <c r="C18" s="2"/>
      <c r="D18" s="204">
        <f>VLOOKUP(B18,BaseA,82,0)</f>
        <v>12</v>
      </c>
      <c r="E18" s="87">
        <v>61</v>
      </c>
      <c r="F18" s="2" t="s">
        <v>64</v>
      </c>
      <c r="H18" s="204">
        <f>VLOOKUP(F18,BaseA,82,0)</f>
        <v>2</v>
      </c>
    </row>
    <row r="19" spans="1:8" x14ac:dyDescent="0.25">
      <c r="A19" s="87">
        <v>13</v>
      </c>
      <c r="B19" s="2" t="s">
        <v>17</v>
      </c>
      <c r="C19" s="88"/>
      <c r="D19" s="203">
        <f>VLOOKUP(B19,BaseA,82,0)</f>
        <v>11</v>
      </c>
      <c r="E19" s="87">
        <v>70</v>
      </c>
      <c r="F19" s="2" t="s">
        <v>73</v>
      </c>
      <c r="H19" s="204">
        <f>VLOOKUP(F19,BaseA,82,0)</f>
        <v>2</v>
      </c>
    </row>
    <row r="20" spans="1:8" x14ac:dyDescent="0.25">
      <c r="A20" s="87">
        <v>5</v>
      </c>
      <c r="B20" s="2" t="s">
        <v>9</v>
      </c>
      <c r="C20" s="2"/>
      <c r="D20" s="203">
        <f>VLOOKUP(B20,BaseA,82,0)</f>
        <v>10</v>
      </c>
      <c r="E20" s="87">
        <v>76</v>
      </c>
      <c r="F20" s="2" t="s">
        <v>79</v>
      </c>
      <c r="G20" s="2"/>
      <c r="H20" s="204">
        <f>VLOOKUP(F20,BaseA,82,0)</f>
        <v>2</v>
      </c>
    </row>
    <row r="21" spans="1:8" x14ac:dyDescent="0.25">
      <c r="A21" s="87">
        <v>6</v>
      </c>
      <c r="B21" s="2" t="s">
        <v>10</v>
      </c>
      <c r="C21" s="2"/>
      <c r="D21" s="204">
        <f>VLOOKUP(B21,BaseA,82,0)</f>
        <v>10</v>
      </c>
      <c r="E21" s="87">
        <v>78</v>
      </c>
      <c r="F21" s="2" t="s">
        <v>81</v>
      </c>
      <c r="G21" s="2"/>
      <c r="H21" s="204">
        <f>VLOOKUP(F21,BaseA,82,0)</f>
        <v>2</v>
      </c>
    </row>
    <row r="22" spans="1:8" x14ac:dyDescent="0.25">
      <c r="A22" s="87">
        <v>26</v>
      </c>
      <c r="B22" s="2" t="s">
        <v>29</v>
      </c>
      <c r="D22" s="204">
        <f>VLOOKUP(B22,BaseA,82,0)</f>
        <v>10</v>
      </c>
      <c r="E22" s="87">
        <v>88</v>
      </c>
      <c r="F22" s="2" t="s">
        <v>91</v>
      </c>
      <c r="H22" s="204">
        <f>VLOOKUP(F22,BaseA,82,0)</f>
        <v>2</v>
      </c>
    </row>
    <row r="23" spans="1:8" x14ac:dyDescent="0.25">
      <c r="A23" s="87">
        <v>56</v>
      </c>
      <c r="B23" s="2" t="s">
        <v>59</v>
      </c>
      <c r="C23" s="2"/>
      <c r="D23" s="203">
        <f>VLOOKUP(B23,BaseA,82,0)</f>
        <v>9</v>
      </c>
      <c r="E23" s="87">
        <v>92</v>
      </c>
      <c r="F23" s="2" t="s">
        <v>95</v>
      </c>
      <c r="G23" s="2"/>
      <c r="H23" s="204">
        <f>VLOOKUP(F23,BaseA,82,0)</f>
        <v>2</v>
      </c>
    </row>
    <row r="24" spans="1:8" x14ac:dyDescent="0.25">
      <c r="A24" s="87">
        <v>49</v>
      </c>
      <c r="B24" s="2" t="s">
        <v>52</v>
      </c>
      <c r="D24" s="203">
        <f>VLOOKUP(B24,BaseA,82,0)</f>
        <v>8</v>
      </c>
      <c r="E24" s="87">
        <v>2</v>
      </c>
      <c r="F24" s="2" t="s">
        <v>6</v>
      </c>
      <c r="G24" s="2"/>
      <c r="H24" s="204">
        <f>VLOOKUP(F24,BaseA,82,0)</f>
        <v>1</v>
      </c>
    </row>
    <row r="25" spans="1:8" x14ac:dyDescent="0.25">
      <c r="A25" s="87">
        <v>72</v>
      </c>
      <c r="B25" s="2" t="s">
        <v>75</v>
      </c>
      <c r="C25" s="2"/>
      <c r="D25" s="203">
        <f>VLOOKUP(B25,BaseA,82,0)</f>
        <v>8</v>
      </c>
      <c r="E25" s="87">
        <v>3</v>
      </c>
      <c r="F25" s="2" t="s">
        <v>7</v>
      </c>
      <c r="G25" s="2"/>
      <c r="H25" s="204">
        <f>VLOOKUP(F25,BaseA,82,0)</f>
        <v>1</v>
      </c>
    </row>
    <row r="26" spans="1:8" x14ac:dyDescent="0.25">
      <c r="A26" s="87">
        <v>75</v>
      </c>
      <c r="B26" s="2" t="s">
        <v>78</v>
      </c>
      <c r="C26" s="2"/>
      <c r="D26" s="203">
        <f>VLOOKUP(B26,BaseA,82,0)</f>
        <v>8</v>
      </c>
      <c r="E26" s="87">
        <v>8</v>
      </c>
      <c r="F26" s="2" t="s">
        <v>12</v>
      </c>
      <c r="G26" s="2"/>
      <c r="H26" s="204">
        <f>VLOOKUP(F26,BaseA,82,0)</f>
        <v>1</v>
      </c>
    </row>
    <row r="27" spans="1:8" x14ac:dyDescent="0.25">
      <c r="A27" s="87">
        <v>9</v>
      </c>
      <c r="B27" s="2" t="s">
        <v>13</v>
      </c>
      <c r="D27" s="204">
        <f>VLOOKUP(B27,BaseA,82,0)</f>
        <v>6</v>
      </c>
      <c r="E27" s="87">
        <v>15</v>
      </c>
      <c r="F27" s="2" t="s">
        <v>19</v>
      </c>
      <c r="H27" s="204">
        <f>VLOOKUP(F27,BaseA,82,0)</f>
        <v>1</v>
      </c>
    </row>
    <row r="28" spans="1:8" x14ac:dyDescent="0.25">
      <c r="A28" s="87">
        <v>11</v>
      </c>
      <c r="B28" s="2" t="s">
        <v>15</v>
      </c>
      <c r="D28" s="204">
        <f>VLOOKUP(B28,BaseA,82,0)</f>
        <v>6</v>
      </c>
      <c r="E28" s="87">
        <v>16</v>
      </c>
      <c r="F28" s="2" t="s">
        <v>20</v>
      </c>
      <c r="H28" s="204">
        <f>VLOOKUP(F28,BaseA,82,0)</f>
        <v>1</v>
      </c>
    </row>
    <row r="29" spans="1:8" x14ac:dyDescent="0.25">
      <c r="A29" s="87">
        <v>21</v>
      </c>
      <c r="B29" s="2" t="s">
        <v>24</v>
      </c>
      <c r="C29" s="2"/>
      <c r="D29" s="203">
        <f>VLOOKUP(B29,BaseA,82,0)</f>
        <v>6</v>
      </c>
      <c r="E29" s="87">
        <v>18</v>
      </c>
      <c r="F29" s="2" t="s">
        <v>22</v>
      </c>
      <c r="H29" s="204">
        <f>VLOOKUP(F29,BaseA,82,0)</f>
        <v>1</v>
      </c>
    </row>
    <row r="30" spans="1:8" x14ac:dyDescent="0.25">
      <c r="A30" s="87">
        <v>31</v>
      </c>
      <c r="B30" s="2" t="s">
        <v>34</v>
      </c>
      <c r="D30" s="204">
        <f>VLOOKUP(B30,BaseA,82,0)</f>
        <v>6</v>
      </c>
      <c r="E30" s="87">
        <v>19</v>
      </c>
      <c r="F30" s="2" t="s">
        <v>23</v>
      </c>
      <c r="H30" s="204">
        <f>VLOOKUP(F30,BaseA,82,0)</f>
        <v>1</v>
      </c>
    </row>
    <row r="31" spans="1:8" x14ac:dyDescent="0.25">
      <c r="A31" s="87">
        <v>36</v>
      </c>
      <c r="B31" s="2" t="s">
        <v>39</v>
      </c>
      <c r="C31" s="2"/>
      <c r="D31" s="204">
        <f>VLOOKUP(B31,BaseA,82,0)</f>
        <v>6</v>
      </c>
      <c r="E31" s="87">
        <v>28</v>
      </c>
      <c r="F31" s="2" t="s">
        <v>31</v>
      </c>
      <c r="H31" s="204">
        <f>VLOOKUP(F31,BaseA,82,0)</f>
        <v>1</v>
      </c>
    </row>
    <row r="32" spans="1:8" x14ac:dyDescent="0.25">
      <c r="A32" s="87">
        <v>68</v>
      </c>
      <c r="B32" s="2" t="s">
        <v>71</v>
      </c>
      <c r="D32" s="204">
        <f>VLOOKUP(B32,BaseA,82,0)</f>
        <v>6</v>
      </c>
      <c r="E32" s="87">
        <v>39</v>
      </c>
      <c r="F32" s="2" t="s">
        <v>42</v>
      </c>
      <c r="G32" s="2"/>
      <c r="H32" s="204">
        <f>VLOOKUP(F32,BaseA,82,0)</f>
        <v>1</v>
      </c>
    </row>
    <row r="33" spans="1:8" x14ac:dyDescent="0.25">
      <c r="A33" s="87">
        <v>86</v>
      </c>
      <c r="B33" s="2" t="s">
        <v>89</v>
      </c>
      <c r="C33" s="2"/>
      <c r="D33" s="204">
        <f>VLOOKUP(B33,BaseA,82,0)</f>
        <v>6</v>
      </c>
      <c r="E33" s="87">
        <v>42</v>
      </c>
      <c r="F33" s="2" t="s">
        <v>45</v>
      </c>
      <c r="G33" s="2"/>
      <c r="H33" s="204">
        <f>VLOOKUP(F33,BaseA,82,0)</f>
        <v>1</v>
      </c>
    </row>
    <row r="34" spans="1:8" x14ac:dyDescent="0.25">
      <c r="A34" s="87">
        <v>24</v>
      </c>
      <c r="B34" s="2" t="s">
        <v>27</v>
      </c>
      <c r="C34" s="2"/>
      <c r="D34" s="204">
        <f>VLOOKUP(B34,BaseA,82,0)</f>
        <v>5</v>
      </c>
      <c r="E34" s="87">
        <v>44</v>
      </c>
      <c r="F34" s="2" t="s">
        <v>47</v>
      </c>
      <c r="G34" s="2"/>
      <c r="H34" s="204">
        <f>VLOOKUP(F34,BaseA,82,0)</f>
        <v>1</v>
      </c>
    </row>
    <row r="35" spans="1:8" x14ac:dyDescent="0.25">
      <c r="A35" s="87">
        <v>66</v>
      </c>
      <c r="B35" s="2" t="s">
        <v>69</v>
      </c>
      <c r="C35" s="2"/>
      <c r="D35" s="204">
        <f>VLOOKUP(B35,BaseA,82,0)</f>
        <v>5</v>
      </c>
      <c r="E35" s="87">
        <v>47</v>
      </c>
      <c r="F35" s="2" t="s">
        <v>50</v>
      </c>
      <c r="G35" s="2"/>
      <c r="H35" s="204">
        <f>VLOOKUP(F35,BaseA,82,0)</f>
        <v>1</v>
      </c>
    </row>
    <row r="36" spans="1:8" x14ac:dyDescent="0.25">
      <c r="A36" s="87">
        <v>69</v>
      </c>
      <c r="B36" s="2" t="s">
        <v>72</v>
      </c>
      <c r="D36" s="204">
        <f>VLOOKUP(B36,BaseA,82,0)</f>
        <v>5</v>
      </c>
      <c r="E36" s="87">
        <v>48</v>
      </c>
      <c r="F36" s="2" t="s">
        <v>51</v>
      </c>
      <c r="G36" s="2"/>
      <c r="H36" s="204">
        <f>VLOOKUP(F36,BaseA,82,0)</f>
        <v>1</v>
      </c>
    </row>
    <row r="37" spans="1:8" x14ac:dyDescent="0.25">
      <c r="A37" s="87">
        <v>79</v>
      </c>
      <c r="B37" s="2" t="s">
        <v>82</v>
      </c>
      <c r="D37" s="204">
        <f>VLOOKUP(B37,BaseA,82,0)</f>
        <v>5</v>
      </c>
      <c r="E37" s="87">
        <v>55</v>
      </c>
      <c r="F37" s="2" t="s">
        <v>58</v>
      </c>
      <c r="G37" s="2"/>
      <c r="H37" s="204">
        <f>VLOOKUP(F37,BaseA,82,0)</f>
        <v>1</v>
      </c>
    </row>
    <row r="38" spans="1:8" x14ac:dyDescent="0.25">
      <c r="A38" s="87">
        <v>17</v>
      </c>
      <c r="B38" s="2" t="s">
        <v>21</v>
      </c>
      <c r="D38" s="204">
        <f>VLOOKUP(B38,BaseA,82,0)</f>
        <v>4</v>
      </c>
      <c r="E38" s="87">
        <v>60</v>
      </c>
      <c r="F38" s="2" t="s">
        <v>63</v>
      </c>
      <c r="G38" s="2"/>
      <c r="H38" s="204">
        <f>VLOOKUP(F38,BaseA,82,0)</f>
        <v>1</v>
      </c>
    </row>
    <row r="39" spans="1:8" x14ac:dyDescent="0.25">
      <c r="A39" s="87">
        <v>81</v>
      </c>
      <c r="B39" s="2" t="s">
        <v>84</v>
      </c>
      <c r="C39" s="2"/>
      <c r="D39" s="204">
        <f>VLOOKUP(B39,BaseA,82,0)</f>
        <v>4</v>
      </c>
      <c r="E39" s="87">
        <v>62</v>
      </c>
      <c r="F39" s="2" t="s">
        <v>65</v>
      </c>
      <c r="H39" s="204">
        <f>VLOOKUP(F39,BaseA,82,0)</f>
        <v>1</v>
      </c>
    </row>
    <row r="40" spans="1:8" x14ac:dyDescent="0.25">
      <c r="A40" s="87">
        <v>83</v>
      </c>
      <c r="B40" s="2" t="s">
        <v>86</v>
      </c>
      <c r="C40" s="2"/>
      <c r="D40" s="203">
        <f>VLOOKUP(B40,BaseA,82,0)</f>
        <v>4</v>
      </c>
      <c r="E40" s="87">
        <v>64</v>
      </c>
      <c r="F40" s="2" t="s">
        <v>67</v>
      </c>
      <c r="H40" s="204">
        <f>VLOOKUP(F40,BaseA,82,0)</f>
        <v>1</v>
      </c>
    </row>
    <row r="41" spans="1:8" x14ac:dyDescent="0.25">
      <c r="A41" s="87">
        <v>95</v>
      </c>
      <c r="B41" s="2" t="s">
        <v>98</v>
      </c>
      <c r="D41" s="203">
        <f>VLOOKUP(B41,BaseA,82,0)</f>
        <v>4</v>
      </c>
      <c r="E41" s="87">
        <v>65</v>
      </c>
      <c r="F41" s="2" t="s">
        <v>68</v>
      </c>
      <c r="H41" s="204">
        <f>VLOOKUP(F41,BaseA,82,0)</f>
        <v>1</v>
      </c>
    </row>
    <row r="42" spans="1:8" x14ac:dyDescent="0.25">
      <c r="A42" s="87">
        <v>1</v>
      </c>
      <c r="B42" s="2" t="s">
        <v>5</v>
      </c>
      <c r="D42" s="203">
        <f>VLOOKUP(B42,BaseA,82,0)</f>
        <v>3</v>
      </c>
      <c r="E42" s="87">
        <v>67</v>
      </c>
      <c r="F42" s="2" t="s">
        <v>70</v>
      </c>
      <c r="H42" s="204">
        <f>VLOOKUP(F42,BaseA,82,0)</f>
        <v>1</v>
      </c>
    </row>
    <row r="43" spans="1:8" x14ac:dyDescent="0.25">
      <c r="A43" s="87">
        <v>22</v>
      </c>
      <c r="B43" s="2" t="s">
        <v>25</v>
      </c>
      <c r="C43" s="2"/>
      <c r="D43" s="203">
        <f>VLOOKUP(B43,BaseA,82,0)</f>
        <v>3</v>
      </c>
      <c r="E43" s="87">
        <v>71</v>
      </c>
      <c r="F43" s="2" t="s">
        <v>74</v>
      </c>
      <c r="H43" s="204">
        <f>VLOOKUP(F43,BaseA,82,0)</f>
        <v>1</v>
      </c>
    </row>
    <row r="44" spans="1:8" x14ac:dyDescent="0.25">
      <c r="A44" s="87">
        <v>30</v>
      </c>
      <c r="B44" s="2" t="s">
        <v>33</v>
      </c>
      <c r="C44" s="2"/>
      <c r="D44" s="203">
        <f>VLOOKUP(B44,BaseA,82,0)</f>
        <v>3</v>
      </c>
      <c r="E44" s="87">
        <v>74</v>
      </c>
      <c r="F44" s="2" t="s">
        <v>77</v>
      </c>
      <c r="H44" s="204">
        <f>VLOOKUP(F44,BaseA,82,0)</f>
        <v>1</v>
      </c>
    </row>
    <row r="45" spans="1:8" x14ac:dyDescent="0.25">
      <c r="A45" s="87">
        <v>35</v>
      </c>
      <c r="B45" s="2" t="s">
        <v>38</v>
      </c>
      <c r="C45" s="2"/>
      <c r="D45" s="203">
        <f>VLOOKUP(B45,BaseA,82,0)</f>
        <v>3</v>
      </c>
      <c r="E45" s="87">
        <v>77</v>
      </c>
      <c r="F45" s="2" t="s">
        <v>80</v>
      </c>
      <c r="H45" s="204">
        <f>VLOOKUP(F45,BaseA,82,0)</f>
        <v>1</v>
      </c>
    </row>
    <row r="46" spans="1:8" x14ac:dyDescent="0.25">
      <c r="A46" s="87">
        <v>45</v>
      </c>
      <c r="B46" s="2" t="s">
        <v>48</v>
      </c>
      <c r="D46" s="203">
        <f>VLOOKUP(B46,BaseA,82,0)</f>
        <v>3</v>
      </c>
      <c r="E46" s="87">
        <v>82</v>
      </c>
      <c r="F46" s="2" t="s">
        <v>85</v>
      </c>
      <c r="H46" s="204">
        <f>VLOOKUP(F46,BaseA,82,0)</f>
        <v>1</v>
      </c>
    </row>
    <row r="47" spans="1:8" x14ac:dyDescent="0.25">
      <c r="A47" s="87">
        <v>46</v>
      </c>
      <c r="B47" s="2" t="s">
        <v>49</v>
      </c>
      <c r="C47" s="2"/>
      <c r="D47" s="203">
        <f>VLOOKUP(B47,BaseA,82,0)</f>
        <v>3</v>
      </c>
      <c r="E47" s="87">
        <v>85</v>
      </c>
      <c r="F47" s="2" t="s">
        <v>88</v>
      </c>
      <c r="H47" s="204">
        <f>VLOOKUP(F47,BaseA,82,0)</f>
        <v>1</v>
      </c>
    </row>
    <row r="48" spans="1:8" x14ac:dyDescent="0.25">
      <c r="A48" s="87">
        <v>63</v>
      </c>
      <c r="B48" s="2" t="s">
        <v>66</v>
      </c>
      <c r="C48" s="2"/>
      <c r="D48" s="203">
        <f>VLOOKUP(B48,BaseA,82,0)</f>
        <v>3</v>
      </c>
      <c r="E48" s="87">
        <v>87</v>
      </c>
      <c r="F48" s="2" t="s">
        <v>90</v>
      </c>
      <c r="H48" s="204">
        <f>VLOOKUP(F48,BaseA,82,0)</f>
        <v>1</v>
      </c>
    </row>
    <row r="49" spans="1:8" x14ac:dyDescent="0.25">
      <c r="A49" s="87">
        <v>73</v>
      </c>
      <c r="B49" s="2" t="s">
        <v>76</v>
      </c>
      <c r="C49" s="2"/>
      <c r="D49" s="203">
        <f>VLOOKUP(B49,BaseA,82,0)</f>
        <v>3</v>
      </c>
      <c r="E49" s="87">
        <v>972</v>
      </c>
      <c r="F49" s="2" t="s">
        <v>100</v>
      </c>
      <c r="H49" s="204">
        <f>VLOOKUP(F49,BaseA,82,0)</f>
        <v>1</v>
      </c>
    </row>
    <row r="50" spans="1:8" x14ac:dyDescent="0.25">
      <c r="A50" s="87">
        <v>80</v>
      </c>
      <c r="B50" s="2" t="s">
        <v>83</v>
      </c>
      <c r="C50" s="2"/>
      <c r="D50" s="203">
        <f>VLOOKUP(B50,BaseA,82,0)</f>
        <v>3</v>
      </c>
      <c r="E50" s="87" t="s">
        <v>206</v>
      </c>
      <c r="F50" s="2" t="s">
        <v>208</v>
      </c>
      <c r="H50" s="204">
        <f>VLOOKUP(F50,BaseA,82,0)</f>
        <v>1</v>
      </c>
    </row>
    <row r="51" spans="1:8" x14ac:dyDescent="0.25">
      <c r="A51" s="87">
        <v>7</v>
      </c>
      <c r="B51" s="2" t="s">
        <v>11</v>
      </c>
      <c r="D51" s="203">
        <f>VLOOKUP(B51,BaseA,82,0)</f>
        <v>2</v>
      </c>
      <c r="E51" s="87" t="s">
        <v>207</v>
      </c>
      <c r="F51" s="2" t="s">
        <v>209</v>
      </c>
      <c r="H51" s="204">
        <f>VLOOKUP(F51,BaseA,82,0)</f>
        <v>1</v>
      </c>
    </row>
    <row r="52" spans="1:8" x14ac:dyDescent="0.25">
      <c r="A52" s="87">
        <v>10</v>
      </c>
      <c r="B52" s="2" t="s">
        <v>14</v>
      </c>
      <c r="D52" s="203">
        <f>VLOOKUP(B52,BaseA,82,0)</f>
        <v>2</v>
      </c>
      <c r="E52" s="87"/>
      <c r="F52" s="2"/>
      <c r="H52" s="204"/>
    </row>
    <row r="53" spans="1:8" hidden="1" x14ac:dyDescent="0.25">
      <c r="A53" s="87"/>
      <c r="B53" s="2"/>
      <c r="D53" s="203"/>
      <c r="E53" s="87"/>
      <c r="F53" s="2"/>
      <c r="G53" s="2"/>
      <c r="H53" s="204"/>
    </row>
    <row r="54" spans="1:8" hidden="1" x14ac:dyDescent="0.25">
      <c r="A54" s="87"/>
      <c r="B54" s="2"/>
      <c r="D54" s="203"/>
      <c r="E54" s="87"/>
      <c r="F54" s="2"/>
      <c r="H54" s="204"/>
    </row>
    <row r="55" spans="1:8" hidden="1" x14ac:dyDescent="0.25">
      <c r="A55" s="87"/>
      <c r="B55" s="2"/>
      <c r="D55" s="203"/>
      <c r="E55" s="87"/>
      <c r="F55" s="2"/>
      <c r="G55" s="2"/>
      <c r="H55" s="204"/>
    </row>
    <row r="56" spans="1:8" hidden="1" x14ac:dyDescent="0.25">
      <c r="A56" s="87"/>
      <c r="B56" s="2"/>
      <c r="C56" s="2"/>
      <c r="D56" s="203"/>
      <c r="E56" s="87"/>
      <c r="F56" s="2"/>
      <c r="H56" s="204"/>
    </row>
    <row r="57" spans="1:8" hidden="1" x14ac:dyDescent="0.25">
      <c r="A57" s="87"/>
      <c r="B57" s="2"/>
      <c r="C57" s="2"/>
      <c r="D57" s="203"/>
      <c r="E57" s="87"/>
      <c r="F57" s="2"/>
      <c r="H57" s="204"/>
    </row>
    <row r="58" spans="1:8" hidden="1" x14ac:dyDescent="0.25">
      <c r="A58" s="87"/>
      <c r="B58" s="2"/>
      <c r="C58" s="2"/>
      <c r="D58" s="203"/>
      <c r="E58" s="87"/>
      <c r="F58" s="2"/>
      <c r="H58" s="204"/>
    </row>
    <row r="59" spans="1:8" hidden="1" x14ac:dyDescent="0.25">
      <c r="A59" s="87"/>
      <c r="B59" s="2"/>
      <c r="C59" s="2"/>
      <c r="D59" s="203"/>
      <c r="E59" s="87"/>
      <c r="F59" s="2"/>
      <c r="H59" s="204"/>
    </row>
    <row r="60" spans="1:8" hidden="1" x14ac:dyDescent="0.25">
      <c r="A60" s="87"/>
      <c r="B60" s="2"/>
      <c r="C60" s="2"/>
      <c r="D60" s="203"/>
      <c r="E60" s="87"/>
      <c r="F60" s="2"/>
      <c r="H60" s="204"/>
    </row>
    <row r="61" spans="1:8" ht="13.8" x14ac:dyDescent="0.25">
      <c r="A61" s="87"/>
      <c r="B61" s="89" t="s">
        <v>112</v>
      </c>
      <c r="C61" s="11"/>
      <c r="D61" s="232">
        <f>SUM(D9:D60)</f>
        <v>456</v>
      </c>
      <c r="E61" s="70"/>
      <c r="F61" s="90"/>
      <c r="G61" s="91" t="s">
        <v>103</v>
      </c>
      <c r="H61" s="205">
        <f>SUM(H9:H60)</f>
        <v>512</v>
      </c>
    </row>
    <row r="62" spans="1:8" ht="6" customHeight="1" thickBot="1" x14ac:dyDescent="0.3">
      <c r="A62" s="92"/>
      <c r="B62" s="93"/>
      <c r="C62" s="94"/>
      <c r="D62" s="94"/>
      <c r="E62" s="92"/>
      <c r="F62" s="93"/>
      <c r="G62" s="94"/>
      <c r="H62" s="77"/>
    </row>
    <row r="63" spans="1:8" x14ac:dyDescent="0.25">
      <c r="H63" s="189" t="str">
        <f>IF(H61=Base!EG56+Base!FJ56,"","Rechercher écart avec onglet Base")</f>
        <v/>
      </c>
    </row>
  </sheetData>
  <phoneticPr fontId="5" type="noConversion"/>
  <printOptions horizontalCentered="1" verticalCentered="1"/>
  <pageMargins left="0.15748031496062992" right="0.43307086614173229" top="0.51181102362204722" bottom="0.55118110236220474" header="0.19685039370078741" footer="0"/>
  <pageSetup paperSize="9" scale="110" orientation="portrait" horizontalDpi="300" verticalDpi="300" r:id="rId1"/>
  <headerFooter alignWithMargins="0">
    <oddHeader>&amp;C&amp;"Book Antiqua,Normal"&amp;14&amp;ECADRANS SOLAIRES - Année 2023</oddHeader>
    <oddFooter>&amp;R&amp;9&amp;D - S.GREGORI (01 39 74 49 29)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165"/>
  <sheetViews>
    <sheetView topLeftCell="A20" workbookViewId="0">
      <selection activeCell="P8" sqref="P8"/>
    </sheetView>
  </sheetViews>
  <sheetFormatPr baseColWidth="10" defaultRowHeight="13.2" outlineLevelRow="1" outlineLevelCol="2" x14ac:dyDescent="0.25"/>
  <cols>
    <col min="1" max="1" width="11.44140625" style="2" customWidth="1"/>
    <col min="2" max="2" width="4.5546875" style="2" customWidth="1"/>
    <col min="3" max="4" width="2.88671875" style="3" hidden="1" customWidth="1" outlineLevel="1"/>
    <col min="5" max="5" width="5.5546875" style="3" hidden="1" customWidth="1" outlineLevel="1" collapsed="1"/>
    <col min="6" max="7" width="4.44140625" style="3" hidden="1" customWidth="1" outlineLevel="1"/>
    <col min="8" max="8" width="4.44140625" style="3" hidden="1" customWidth="1" outlineLevel="1" collapsed="1"/>
    <col min="9" max="9" width="4.44140625" style="3" hidden="1" customWidth="1" outlineLevel="1"/>
    <col min="10" max="11" width="4.44140625" style="3" hidden="1" customWidth="1" outlineLevel="2"/>
    <col min="12" max="12" width="4.44140625" style="3" hidden="1" customWidth="1" outlineLevel="1" collapsed="1"/>
    <col min="13" max="13" width="4.44140625" style="3" hidden="1" customWidth="1" outlineLevel="1"/>
    <col min="14" max="14" width="5.44140625" style="3" customWidth="1" collapsed="1"/>
    <col min="15" max="15" width="5.44140625" style="3" customWidth="1"/>
    <col min="16" max="16" width="5.44140625" style="3" customWidth="1" collapsed="1"/>
    <col min="17" max="17" width="5.44140625" style="3" customWidth="1"/>
    <col min="18" max="18" width="11.44140625" style="2" customWidth="1"/>
    <col min="19" max="19" width="4.5546875" customWidth="1"/>
    <col min="20" max="20" width="5.5546875" style="3" hidden="1" customWidth="1" outlineLevel="1"/>
    <col min="21" max="22" width="4.44140625" style="3" hidden="1" customWidth="1" outlineLevel="1"/>
    <col min="23" max="23" width="4.44140625" style="3" hidden="1" customWidth="1" outlineLevel="1" collapsed="1"/>
    <col min="24" max="24" width="4.44140625" style="3" hidden="1" customWidth="1" outlineLevel="1"/>
    <col min="25" max="26" width="4.44140625" style="3" hidden="1" customWidth="1" outlineLevel="2"/>
    <col min="27" max="27" width="4.44140625" style="3" hidden="1" customWidth="1" outlineLevel="1" collapsed="1"/>
    <col min="28" max="28" width="4.44140625" style="3" hidden="1" customWidth="1" outlineLevel="1"/>
    <col min="29" max="29" width="5.44140625" style="3" customWidth="1" collapsed="1"/>
    <col min="30" max="30" width="5.44140625" style="3" customWidth="1"/>
    <col min="31" max="31" width="5.44140625" style="3" customWidth="1" collapsed="1"/>
    <col min="32" max="32" width="5.44140625" style="3" customWidth="1"/>
  </cols>
  <sheetData>
    <row r="1" spans="1:32" ht="13.8" thickBot="1" x14ac:dyDescent="0.3">
      <c r="A1" s="30"/>
      <c r="P1"/>
      <c r="Q1"/>
      <c r="R1" s="30"/>
      <c r="AE1"/>
      <c r="AF1"/>
    </row>
    <row r="2" spans="1:32" ht="13.8" thickBot="1" x14ac:dyDescent="0.3">
      <c r="C2" s="7"/>
      <c r="D2" s="7"/>
      <c r="E2" s="7"/>
      <c r="F2" s="4" t="s">
        <v>0</v>
      </c>
      <c r="G2" s="5"/>
      <c r="H2" s="4" t="s">
        <v>0</v>
      </c>
      <c r="I2" s="5"/>
      <c r="J2" s="4" t="s">
        <v>1</v>
      </c>
      <c r="K2" s="5"/>
      <c r="L2" s="4" t="s">
        <v>1</v>
      </c>
      <c r="M2" s="5"/>
      <c r="N2" s="6" t="s">
        <v>0</v>
      </c>
      <c r="O2" s="6" t="s">
        <v>1</v>
      </c>
      <c r="P2" s="6" t="s">
        <v>0</v>
      </c>
      <c r="Q2" s="6" t="s">
        <v>1</v>
      </c>
      <c r="T2" s="7"/>
      <c r="U2" s="4" t="s">
        <v>0</v>
      </c>
      <c r="V2" s="5"/>
      <c r="W2" s="4" t="s">
        <v>0</v>
      </c>
      <c r="X2" s="5"/>
      <c r="Y2" s="4" t="s">
        <v>1</v>
      </c>
      <c r="Z2" s="5"/>
      <c r="AA2" s="4" t="s">
        <v>1</v>
      </c>
      <c r="AB2" s="5"/>
      <c r="AC2" s="6" t="s">
        <v>0</v>
      </c>
      <c r="AD2" s="6" t="s">
        <v>1</v>
      </c>
      <c r="AE2" s="6" t="s">
        <v>0</v>
      </c>
      <c r="AF2" s="6" t="s">
        <v>1</v>
      </c>
    </row>
    <row r="3" spans="1:32" ht="45" customHeight="1" x14ac:dyDescent="0.25">
      <c r="A3" s="69" t="s">
        <v>117</v>
      </c>
      <c r="B3" s="38"/>
      <c r="C3" s="40" t="s">
        <v>118</v>
      </c>
      <c r="D3" s="40" t="s">
        <v>119</v>
      </c>
      <c r="E3" s="40" t="s">
        <v>109</v>
      </c>
      <c r="F3" s="39">
        <v>1997</v>
      </c>
      <c r="G3" s="39">
        <v>1998</v>
      </c>
      <c r="H3" s="39">
        <v>1998</v>
      </c>
      <c r="I3" s="39">
        <v>1999</v>
      </c>
      <c r="J3" s="39">
        <v>1997</v>
      </c>
      <c r="K3" s="39">
        <v>1998</v>
      </c>
      <c r="L3" s="39">
        <v>1998</v>
      </c>
      <c r="M3" s="39">
        <v>1999</v>
      </c>
      <c r="N3" s="95" t="s">
        <v>174</v>
      </c>
      <c r="O3" s="96"/>
      <c r="P3" s="95" t="s">
        <v>175</v>
      </c>
      <c r="Q3" s="96"/>
      <c r="R3" s="69" t="str">
        <f>+A3</f>
        <v>PAYS</v>
      </c>
      <c r="S3" s="38"/>
      <c r="T3" s="40" t="s">
        <v>109</v>
      </c>
      <c r="U3" s="39">
        <v>1997</v>
      </c>
      <c r="V3" s="39">
        <v>1998</v>
      </c>
      <c r="W3" s="39">
        <v>1998</v>
      </c>
      <c r="X3" s="39">
        <v>1999</v>
      </c>
      <c r="Y3" s="39">
        <v>1997</v>
      </c>
      <c r="Z3" s="39">
        <v>1998</v>
      </c>
      <c r="AA3" s="39">
        <v>1998</v>
      </c>
      <c r="AB3" s="39">
        <v>1999</v>
      </c>
      <c r="AC3" s="95" t="s">
        <v>174</v>
      </c>
      <c r="AD3" s="96"/>
      <c r="AE3" s="95" t="s">
        <v>175</v>
      </c>
      <c r="AF3" s="96"/>
    </row>
    <row r="4" spans="1:32" ht="16.5" customHeight="1" x14ac:dyDescent="0.25">
      <c r="A4" s="70" t="s">
        <v>120</v>
      </c>
      <c r="B4" s="44"/>
      <c r="C4" s="98"/>
      <c r="D4" s="98"/>
      <c r="E4" s="98"/>
      <c r="F4" s="100">
        <v>12</v>
      </c>
      <c r="G4" s="99"/>
      <c r="H4" s="99">
        <f t="shared" ref="H4:H29" si="0">+F4+G4</f>
        <v>12</v>
      </c>
      <c r="I4" s="45"/>
      <c r="J4" s="99">
        <v>1</v>
      </c>
      <c r="K4" s="99"/>
      <c r="L4" s="99">
        <f t="shared" ref="L4:L29" si="1">+J4+K4</f>
        <v>1</v>
      </c>
      <c r="M4" s="45"/>
      <c r="N4" s="46">
        <f t="shared" ref="N4:N29" si="2">+E4+H4+I4</f>
        <v>12</v>
      </c>
      <c r="O4" s="97">
        <f t="shared" ref="O4:O29" si="3">+L4+M4</f>
        <v>1</v>
      </c>
      <c r="P4" s="46">
        <v>13</v>
      </c>
      <c r="Q4" s="97">
        <v>0</v>
      </c>
      <c r="R4" s="71" t="s">
        <v>104</v>
      </c>
      <c r="S4" s="44"/>
      <c r="T4" s="98">
        <f t="shared" ref="T4:AD4" si="4">+E34</f>
        <v>-10</v>
      </c>
      <c r="U4" s="100">
        <f t="shared" si="4"/>
        <v>1406</v>
      </c>
      <c r="V4" s="100">
        <f t="shared" si="4"/>
        <v>129</v>
      </c>
      <c r="W4" s="100">
        <f t="shared" si="4"/>
        <v>1535</v>
      </c>
      <c r="X4" s="45">
        <f t="shared" si="4"/>
        <v>214</v>
      </c>
      <c r="Y4" s="99">
        <f t="shared" si="4"/>
        <v>27</v>
      </c>
      <c r="Z4" s="100">
        <f t="shared" si="4"/>
        <v>0</v>
      </c>
      <c r="AA4" s="100">
        <f t="shared" si="4"/>
        <v>27</v>
      </c>
      <c r="AB4" s="45">
        <f t="shared" si="4"/>
        <v>5</v>
      </c>
      <c r="AC4" s="46">
        <f t="shared" si="4"/>
        <v>1739</v>
      </c>
      <c r="AD4" s="97">
        <f t="shared" si="4"/>
        <v>32</v>
      </c>
      <c r="AE4" s="46">
        <f>+P34</f>
        <v>1766</v>
      </c>
      <c r="AF4" s="97">
        <f>+Q34</f>
        <v>5</v>
      </c>
    </row>
    <row r="5" spans="1:32" ht="16.5" customHeight="1" x14ac:dyDescent="0.25">
      <c r="A5" s="70" t="s">
        <v>121</v>
      </c>
      <c r="B5" s="44"/>
      <c r="C5" s="98"/>
      <c r="D5" s="98"/>
      <c r="E5" s="98"/>
      <c r="F5" s="100">
        <v>107</v>
      </c>
      <c r="G5" s="99">
        <v>7</v>
      </c>
      <c r="H5" s="99">
        <f t="shared" si="0"/>
        <v>114</v>
      </c>
      <c r="I5" s="45">
        <v>1</v>
      </c>
      <c r="J5" s="99">
        <v>2</v>
      </c>
      <c r="K5" s="99"/>
      <c r="L5" s="99">
        <f t="shared" si="1"/>
        <v>2</v>
      </c>
      <c r="M5" s="45"/>
      <c r="N5" s="46">
        <f t="shared" si="2"/>
        <v>115</v>
      </c>
      <c r="O5" s="97">
        <f t="shared" si="3"/>
        <v>2</v>
      </c>
      <c r="P5" s="46">
        <v>117</v>
      </c>
      <c r="Q5" s="97">
        <v>0</v>
      </c>
      <c r="R5" s="70" t="s">
        <v>163</v>
      </c>
      <c r="S5" s="52"/>
      <c r="T5" s="98"/>
      <c r="U5" s="99">
        <v>7</v>
      </c>
      <c r="V5" s="115"/>
      <c r="W5" s="99">
        <f t="shared" ref="W5:W28" si="5">+U5+V5</f>
        <v>7</v>
      </c>
      <c r="X5" s="100"/>
      <c r="Y5" s="99">
        <v>1</v>
      </c>
      <c r="Z5" s="99"/>
      <c r="AA5" s="99">
        <f t="shared" ref="AA5:AA28" si="6">+Y5+Z5</f>
        <v>1</v>
      </c>
      <c r="AB5" s="99"/>
      <c r="AC5" s="46">
        <f t="shared" ref="AC5:AC28" si="7">+T5+W5+X5</f>
        <v>7</v>
      </c>
      <c r="AD5" s="97">
        <f t="shared" ref="AD5:AD28" si="8">+AA5+AB5</f>
        <v>1</v>
      </c>
      <c r="AE5" s="46">
        <v>7</v>
      </c>
      <c r="AF5" s="97">
        <v>1</v>
      </c>
    </row>
    <row r="6" spans="1:32" ht="16.5" customHeight="1" x14ac:dyDescent="0.25">
      <c r="A6" s="70" t="s">
        <v>123</v>
      </c>
      <c r="B6" s="44"/>
      <c r="C6" s="98"/>
      <c r="D6" s="98"/>
      <c r="E6" s="98"/>
      <c r="F6" s="100">
        <v>1</v>
      </c>
      <c r="G6" s="99"/>
      <c r="H6" s="99">
        <f t="shared" si="0"/>
        <v>1</v>
      </c>
      <c r="I6" s="45"/>
      <c r="J6" s="99"/>
      <c r="K6" s="99"/>
      <c r="L6" s="99">
        <f t="shared" si="1"/>
        <v>0</v>
      </c>
      <c r="M6" s="45"/>
      <c r="N6" s="46">
        <f t="shared" si="2"/>
        <v>1</v>
      </c>
      <c r="O6" s="97">
        <f t="shared" si="3"/>
        <v>0</v>
      </c>
      <c r="P6" s="46">
        <v>1</v>
      </c>
      <c r="Q6" s="97">
        <v>0</v>
      </c>
      <c r="R6" s="70" t="s">
        <v>122</v>
      </c>
      <c r="S6" s="44"/>
      <c r="T6" s="98"/>
      <c r="U6" s="100">
        <v>2</v>
      </c>
      <c r="V6" s="99"/>
      <c r="W6" s="99">
        <f t="shared" si="5"/>
        <v>2</v>
      </c>
      <c r="X6" s="45"/>
      <c r="Y6" s="99"/>
      <c r="Z6" s="99"/>
      <c r="AA6" s="99">
        <f t="shared" si="6"/>
        <v>0</v>
      </c>
      <c r="AB6" s="45"/>
      <c r="AC6" s="46">
        <f t="shared" si="7"/>
        <v>2</v>
      </c>
      <c r="AD6" s="97">
        <f t="shared" si="8"/>
        <v>0</v>
      </c>
      <c r="AE6" s="46">
        <v>2</v>
      </c>
      <c r="AF6" s="97">
        <v>0</v>
      </c>
    </row>
    <row r="7" spans="1:32" ht="16.5" customHeight="1" x14ac:dyDescent="0.25">
      <c r="A7" s="70" t="s">
        <v>125</v>
      </c>
      <c r="B7" s="52"/>
      <c r="C7" s="98"/>
      <c r="D7" s="98"/>
      <c r="E7" s="98"/>
      <c r="F7" s="100">
        <v>1</v>
      </c>
      <c r="G7" s="99"/>
      <c r="H7" s="99">
        <f t="shared" si="0"/>
        <v>1</v>
      </c>
      <c r="I7" s="45">
        <v>1</v>
      </c>
      <c r="J7" s="99"/>
      <c r="K7" s="99"/>
      <c r="L7" s="99">
        <f t="shared" si="1"/>
        <v>0</v>
      </c>
      <c r="M7" s="45"/>
      <c r="N7" s="46">
        <f t="shared" si="2"/>
        <v>2</v>
      </c>
      <c r="O7" s="97">
        <f t="shared" si="3"/>
        <v>0</v>
      </c>
      <c r="P7" s="46">
        <v>2</v>
      </c>
      <c r="Q7" s="97">
        <v>0</v>
      </c>
      <c r="R7" s="70" t="s">
        <v>124</v>
      </c>
      <c r="S7" s="44"/>
      <c r="T7" s="98"/>
      <c r="U7" s="100">
        <v>4</v>
      </c>
      <c r="V7" s="99"/>
      <c r="W7" s="99">
        <f t="shared" si="5"/>
        <v>4</v>
      </c>
      <c r="X7" s="45"/>
      <c r="Y7" s="99">
        <v>1</v>
      </c>
      <c r="Z7" s="99"/>
      <c r="AA7" s="99">
        <f t="shared" si="6"/>
        <v>1</v>
      </c>
      <c r="AB7" s="45"/>
      <c r="AC7" s="46">
        <f t="shared" si="7"/>
        <v>4</v>
      </c>
      <c r="AD7" s="97">
        <f t="shared" si="8"/>
        <v>1</v>
      </c>
      <c r="AE7" s="46">
        <v>5</v>
      </c>
      <c r="AF7" s="97">
        <v>0</v>
      </c>
    </row>
    <row r="8" spans="1:32" ht="16.5" customHeight="1" x14ac:dyDescent="0.25">
      <c r="A8" s="70" t="s">
        <v>127</v>
      </c>
      <c r="B8" s="44"/>
      <c r="C8" s="98"/>
      <c r="D8" s="98"/>
      <c r="E8" s="98"/>
      <c r="F8" s="100">
        <v>113</v>
      </c>
      <c r="G8" s="99"/>
      <c r="H8" s="99">
        <f t="shared" si="0"/>
        <v>113</v>
      </c>
      <c r="I8" s="45"/>
      <c r="J8" s="99"/>
      <c r="K8" s="99"/>
      <c r="L8" s="99">
        <f t="shared" si="1"/>
        <v>0</v>
      </c>
      <c r="M8" s="45"/>
      <c r="N8" s="46">
        <f t="shared" si="2"/>
        <v>113</v>
      </c>
      <c r="O8" s="97">
        <f t="shared" si="3"/>
        <v>0</v>
      </c>
      <c r="P8" s="46">
        <v>113</v>
      </c>
      <c r="Q8" s="97">
        <v>0</v>
      </c>
      <c r="R8" s="70" t="s">
        <v>126</v>
      </c>
      <c r="S8" s="44"/>
      <c r="T8" s="98"/>
      <c r="U8" s="100">
        <v>6</v>
      </c>
      <c r="V8" s="99"/>
      <c r="W8" s="99">
        <f t="shared" si="5"/>
        <v>6</v>
      </c>
      <c r="X8" s="45"/>
      <c r="Y8" s="99"/>
      <c r="Z8" s="99"/>
      <c r="AA8" s="99">
        <f t="shared" si="6"/>
        <v>0</v>
      </c>
      <c r="AB8" s="45"/>
      <c r="AC8" s="46">
        <f t="shared" si="7"/>
        <v>6</v>
      </c>
      <c r="AD8" s="97">
        <f t="shared" si="8"/>
        <v>0</v>
      </c>
      <c r="AE8" s="46">
        <v>6</v>
      </c>
      <c r="AF8" s="97">
        <v>0</v>
      </c>
    </row>
    <row r="9" spans="1:32" ht="16.5" customHeight="1" x14ac:dyDescent="0.25">
      <c r="A9" s="70" t="s">
        <v>129</v>
      </c>
      <c r="B9" s="44"/>
      <c r="C9" s="98"/>
      <c r="D9" s="98"/>
      <c r="E9" s="98"/>
      <c r="F9" s="100">
        <v>52</v>
      </c>
      <c r="G9" s="99">
        <v>4</v>
      </c>
      <c r="H9" s="99">
        <f t="shared" si="0"/>
        <v>56</v>
      </c>
      <c r="I9" s="45">
        <v>1</v>
      </c>
      <c r="J9" s="99">
        <v>2</v>
      </c>
      <c r="K9" s="99"/>
      <c r="L9" s="99">
        <f t="shared" si="1"/>
        <v>2</v>
      </c>
      <c r="M9" s="45"/>
      <c r="N9" s="46">
        <f t="shared" si="2"/>
        <v>57</v>
      </c>
      <c r="O9" s="97">
        <f t="shared" si="3"/>
        <v>2</v>
      </c>
      <c r="P9" s="46">
        <v>59</v>
      </c>
      <c r="Q9" s="97">
        <v>0</v>
      </c>
      <c r="R9" s="70" t="s">
        <v>128</v>
      </c>
      <c r="S9" s="44"/>
      <c r="T9" s="98">
        <v>-1</v>
      </c>
      <c r="U9" s="100">
        <v>3</v>
      </c>
      <c r="V9" s="99">
        <v>12</v>
      </c>
      <c r="W9" s="99">
        <f t="shared" si="5"/>
        <v>15</v>
      </c>
      <c r="X9" s="45">
        <v>1</v>
      </c>
      <c r="Y9" s="99"/>
      <c r="Z9" s="99"/>
      <c r="AA9" s="99">
        <f t="shared" si="6"/>
        <v>0</v>
      </c>
      <c r="AB9" s="45"/>
      <c r="AC9" s="46">
        <f t="shared" si="7"/>
        <v>15</v>
      </c>
      <c r="AD9" s="97">
        <f t="shared" si="8"/>
        <v>0</v>
      </c>
      <c r="AE9" s="46">
        <v>15</v>
      </c>
      <c r="AF9" s="97">
        <v>0</v>
      </c>
    </row>
    <row r="10" spans="1:32" ht="16.5" customHeight="1" x14ac:dyDescent="0.25">
      <c r="A10" s="70" t="s">
        <v>131</v>
      </c>
      <c r="B10" s="52"/>
      <c r="C10" s="98"/>
      <c r="D10" s="98"/>
      <c r="E10" s="98"/>
      <c r="F10" s="100">
        <v>1</v>
      </c>
      <c r="G10" s="99"/>
      <c r="H10" s="99">
        <f t="shared" si="0"/>
        <v>1</v>
      </c>
      <c r="I10" s="45"/>
      <c r="J10" s="99"/>
      <c r="K10" s="99"/>
      <c r="L10" s="99">
        <f t="shared" si="1"/>
        <v>0</v>
      </c>
      <c r="M10" s="45"/>
      <c r="N10" s="46">
        <f t="shared" si="2"/>
        <v>1</v>
      </c>
      <c r="O10" s="97">
        <f t="shared" si="3"/>
        <v>0</v>
      </c>
      <c r="P10" s="46">
        <v>1</v>
      </c>
      <c r="Q10" s="97">
        <v>0</v>
      </c>
      <c r="R10" s="70" t="s">
        <v>130</v>
      </c>
      <c r="S10" s="44"/>
      <c r="T10" s="98"/>
      <c r="U10" s="100">
        <v>2</v>
      </c>
      <c r="V10" s="99"/>
      <c r="W10" s="99">
        <f t="shared" si="5"/>
        <v>2</v>
      </c>
      <c r="X10" s="45"/>
      <c r="Y10" s="99"/>
      <c r="Z10" s="99"/>
      <c r="AA10" s="99">
        <f t="shared" si="6"/>
        <v>0</v>
      </c>
      <c r="AB10" s="45"/>
      <c r="AC10" s="46">
        <f t="shared" si="7"/>
        <v>2</v>
      </c>
      <c r="AD10" s="97">
        <f t="shared" si="8"/>
        <v>0</v>
      </c>
      <c r="AE10" s="46">
        <v>2</v>
      </c>
      <c r="AF10" s="97">
        <v>0</v>
      </c>
    </row>
    <row r="11" spans="1:32" ht="16.5" customHeight="1" x14ac:dyDescent="0.25">
      <c r="A11" s="70" t="s">
        <v>169</v>
      </c>
      <c r="B11" s="52"/>
      <c r="C11" s="98"/>
      <c r="D11" s="98"/>
      <c r="E11" s="98"/>
      <c r="F11" s="100">
        <v>2</v>
      </c>
      <c r="G11" s="99"/>
      <c r="H11" s="99">
        <f t="shared" si="0"/>
        <v>2</v>
      </c>
      <c r="I11" s="45">
        <v>1</v>
      </c>
      <c r="J11" s="99"/>
      <c r="K11" s="99"/>
      <c r="L11" s="99">
        <f t="shared" si="1"/>
        <v>0</v>
      </c>
      <c r="M11" s="45"/>
      <c r="N11" s="46">
        <f t="shared" si="2"/>
        <v>3</v>
      </c>
      <c r="O11" s="97">
        <f t="shared" si="3"/>
        <v>0</v>
      </c>
      <c r="P11" s="46">
        <v>3</v>
      </c>
      <c r="Q11" s="97">
        <v>0</v>
      </c>
      <c r="R11" s="70" t="s">
        <v>132</v>
      </c>
      <c r="S11" s="52"/>
      <c r="T11" s="98"/>
      <c r="U11" s="100">
        <v>1</v>
      </c>
      <c r="V11" s="99"/>
      <c r="W11" s="99">
        <f t="shared" si="5"/>
        <v>1</v>
      </c>
      <c r="X11" s="45"/>
      <c r="Y11" s="99"/>
      <c r="Z11" s="99"/>
      <c r="AA11" s="99">
        <f t="shared" si="6"/>
        <v>0</v>
      </c>
      <c r="AB11" s="45"/>
      <c r="AC11" s="46">
        <f t="shared" si="7"/>
        <v>1</v>
      </c>
      <c r="AD11" s="97">
        <f t="shared" si="8"/>
        <v>0</v>
      </c>
      <c r="AE11" s="46">
        <v>1</v>
      </c>
      <c r="AF11" s="97">
        <v>0</v>
      </c>
    </row>
    <row r="12" spans="1:32" ht="16.5" customHeight="1" x14ac:dyDescent="0.25">
      <c r="A12" s="70" t="s">
        <v>133</v>
      </c>
      <c r="B12" s="44"/>
      <c r="C12" s="98"/>
      <c r="D12" s="98"/>
      <c r="E12" s="98"/>
      <c r="F12" s="100">
        <v>8</v>
      </c>
      <c r="G12" s="99"/>
      <c r="H12" s="99">
        <f t="shared" si="0"/>
        <v>8</v>
      </c>
      <c r="I12" s="45"/>
      <c r="J12" s="99"/>
      <c r="K12" s="99"/>
      <c r="L12" s="99">
        <f t="shared" si="1"/>
        <v>0</v>
      </c>
      <c r="M12" s="45"/>
      <c r="N12" s="46">
        <f t="shared" si="2"/>
        <v>8</v>
      </c>
      <c r="O12" s="97">
        <f t="shared" si="3"/>
        <v>0</v>
      </c>
      <c r="P12" s="46">
        <v>8</v>
      </c>
      <c r="Q12" s="97">
        <v>0</v>
      </c>
      <c r="R12" s="70" t="s">
        <v>134</v>
      </c>
      <c r="S12" s="44"/>
      <c r="T12" s="98"/>
      <c r="U12" s="100">
        <v>14</v>
      </c>
      <c r="V12" s="99"/>
      <c r="W12" s="99">
        <f t="shared" si="5"/>
        <v>14</v>
      </c>
      <c r="X12" s="45"/>
      <c r="Y12" s="99"/>
      <c r="Z12" s="99"/>
      <c r="AA12" s="99">
        <f t="shared" si="6"/>
        <v>0</v>
      </c>
      <c r="AB12" s="45"/>
      <c r="AC12" s="46">
        <f t="shared" si="7"/>
        <v>14</v>
      </c>
      <c r="AD12" s="97">
        <f t="shared" si="8"/>
        <v>0</v>
      </c>
      <c r="AE12" s="46">
        <v>14</v>
      </c>
      <c r="AF12" s="97">
        <v>0</v>
      </c>
    </row>
    <row r="13" spans="1:32" ht="16.5" customHeight="1" x14ac:dyDescent="0.25">
      <c r="A13" s="70" t="s">
        <v>135</v>
      </c>
      <c r="B13" s="52"/>
      <c r="C13" s="98"/>
      <c r="D13" s="98"/>
      <c r="E13" s="98"/>
      <c r="F13" s="100">
        <v>1</v>
      </c>
      <c r="G13" s="99"/>
      <c r="H13" s="99">
        <f t="shared" si="0"/>
        <v>1</v>
      </c>
      <c r="I13" s="45">
        <v>1</v>
      </c>
      <c r="J13" s="99"/>
      <c r="K13" s="99"/>
      <c r="L13" s="99">
        <f t="shared" si="1"/>
        <v>0</v>
      </c>
      <c r="M13" s="45"/>
      <c r="N13" s="46">
        <f t="shared" si="2"/>
        <v>2</v>
      </c>
      <c r="O13" s="97">
        <f t="shared" si="3"/>
        <v>0</v>
      </c>
      <c r="P13" s="46">
        <v>2</v>
      </c>
      <c r="Q13" s="97">
        <v>0</v>
      </c>
      <c r="R13" s="70" t="s">
        <v>136</v>
      </c>
      <c r="S13" s="52"/>
      <c r="T13" s="98"/>
      <c r="U13" s="100">
        <v>16</v>
      </c>
      <c r="V13" s="99"/>
      <c r="W13" s="99">
        <f t="shared" si="5"/>
        <v>16</v>
      </c>
      <c r="X13" s="45"/>
      <c r="Y13" s="99">
        <v>1</v>
      </c>
      <c r="Z13" s="99"/>
      <c r="AA13" s="99">
        <f t="shared" si="6"/>
        <v>1</v>
      </c>
      <c r="AB13" s="45"/>
      <c r="AC13" s="46">
        <f t="shared" si="7"/>
        <v>16</v>
      </c>
      <c r="AD13" s="97">
        <f t="shared" si="8"/>
        <v>1</v>
      </c>
      <c r="AE13" s="46">
        <v>17</v>
      </c>
      <c r="AF13" s="97">
        <v>0</v>
      </c>
    </row>
    <row r="14" spans="1:32" ht="16.5" customHeight="1" x14ac:dyDescent="0.25">
      <c r="A14" s="70" t="s">
        <v>137</v>
      </c>
      <c r="B14" s="52"/>
      <c r="C14" s="98"/>
      <c r="D14" s="98"/>
      <c r="E14" s="98"/>
      <c r="F14" s="100">
        <v>16</v>
      </c>
      <c r="G14" s="99">
        <v>1</v>
      </c>
      <c r="H14" s="99">
        <f t="shared" si="0"/>
        <v>17</v>
      </c>
      <c r="I14" s="45"/>
      <c r="J14" s="99"/>
      <c r="K14" s="99"/>
      <c r="L14" s="99">
        <f t="shared" si="1"/>
        <v>0</v>
      </c>
      <c r="M14" s="45"/>
      <c r="N14" s="46">
        <f t="shared" si="2"/>
        <v>17</v>
      </c>
      <c r="O14" s="97">
        <f t="shared" si="3"/>
        <v>0</v>
      </c>
      <c r="P14" s="46">
        <v>17</v>
      </c>
      <c r="Q14" s="97">
        <v>0</v>
      </c>
      <c r="R14" s="70" t="s">
        <v>138</v>
      </c>
      <c r="S14" s="52"/>
      <c r="T14" s="98"/>
      <c r="U14" s="100">
        <v>9</v>
      </c>
      <c r="V14" s="99"/>
      <c r="W14" s="99">
        <f t="shared" si="5"/>
        <v>9</v>
      </c>
      <c r="X14" s="45">
        <v>1</v>
      </c>
      <c r="Y14" s="99"/>
      <c r="Z14" s="99"/>
      <c r="AA14" s="99">
        <f t="shared" si="6"/>
        <v>0</v>
      </c>
      <c r="AB14" s="45"/>
      <c r="AC14" s="46">
        <f t="shared" si="7"/>
        <v>10</v>
      </c>
      <c r="AD14" s="97">
        <f t="shared" si="8"/>
        <v>0</v>
      </c>
      <c r="AE14" s="46">
        <v>10</v>
      </c>
      <c r="AF14" s="97">
        <v>0</v>
      </c>
    </row>
    <row r="15" spans="1:32" ht="16.5" customHeight="1" x14ac:dyDescent="0.25">
      <c r="A15" s="70" t="s">
        <v>139</v>
      </c>
      <c r="B15" s="52"/>
      <c r="C15" s="98"/>
      <c r="D15" s="98"/>
      <c r="E15" s="98"/>
      <c r="F15" s="100">
        <v>4</v>
      </c>
      <c r="G15" s="99"/>
      <c r="H15" s="99">
        <f t="shared" si="0"/>
        <v>4</v>
      </c>
      <c r="I15" s="45"/>
      <c r="J15" s="99"/>
      <c r="K15" s="99"/>
      <c r="L15" s="99">
        <f t="shared" si="1"/>
        <v>0</v>
      </c>
      <c r="M15" s="45"/>
      <c r="N15" s="46">
        <f t="shared" si="2"/>
        <v>4</v>
      </c>
      <c r="O15" s="97">
        <f t="shared" si="3"/>
        <v>0</v>
      </c>
      <c r="P15" s="46">
        <v>4</v>
      </c>
      <c r="Q15" s="97">
        <v>0</v>
      </c>
      <c r="R15" s="70" t="s">
        <v>140</v>
      </c>
      <c r="S15" s="52"/>
      <c r="T15" s="98"/>
      <c r="U15" s="100">
        <v>2</v>
      </c>
      <c r="V15" s="99"/>
      <c r="W15" s="99">
        <f t="shared" si="5"/>
        <v>2</v>
      </c>
      <c r="X15" s="45"/>
      <c r="Y15" s="99"/>
      <c r="Z15" s="99"/>
      <c r="AA15" s="99">
        <f t="shared" si="6"/>
        <v>0</v>
      </c>
      <c r="AB15" s="45"/>
      <c r="AC15" s="46">
        <f t="shared" si="7"/>
        <v>2</v>
      </c>
      <c r="AD15" s="97">
        <f t="shared" si="8"/>
        <v>0</v>
      </c>
      <c r="AE15" s="46">
        <v>2</v>
      </c>
      <c r="AF15" s="97">
        <v>0</v>
      </c>
    </row>
    <row r="16" spans="1:32" ht="16.5" customHeight="1" x14ac:dyDescent="0.25">
      <c r="A16" s="70" t="s">
        <v>170</v>
      </c>
      <c r="B16" s="52"/>
      <c r="C16" s="98"/>
      <c r="D16" s="98"/>
      <c r="E16" s="98"/>
      <c r="F16" s="100">
        <v>4</v>
      </c>
      <c r="G16" s="99"/>
      <c r="H16" s="99">
        <f t="shared" si="0"/>
        <v>4</v>
      </c>
      <c r="I16" s="45"/>
      <c r="J16" s="99"/>
      <c r="K16" s="99"/>
      <c r="L16" s="99">
        <f t="shared" si="1"/>
        <v>0</v>
      </c>
      <c r="M16" s="45"/>
      <c r="N16" s="46">
        <f t="shared" si="2"/>
        <v>4</v>
      </c>
      <c r="O16" s="97">
        <f t="shared" si="3"/>
        <v>0</v>
      </c>
      <c r="P16" s="46">
        <v>4</v>
      </c>
      <c r="Q16" s="97">
        <v>0</v>
      </c>
      <c r="R16" s="70" t="s">
        <v>142</v>
      </c>
      <c r="S16" s="52"/>
      <c r="T16" s="98"/>
      <c r="U16" s="100">
        <v>18</v>
      </c>
      <c r="V16" s="99"/>
      <c r="W16" s="99">
        <f t="shared" si="5"/>
        <v>18</v>
      </c>
      <c r="X16" s="45"/>
      <c r="Y16" s="99"/>
      <c r="Z16" s="99"/>
      <c r="AA16" s="99">
        <f t="shared" si="6"/>
        <v>0</v>
      </c>
      <c r="AB16" s="45"/>
      <c r="AC16" s="46">
        <f t="shared" si="7"/>
        <v>18</v>
      </c>
      <c r="AD16" s="97">
        <f t="shared" si="8"/>
        <v>0</v>
      </c>
      <c r="AE16" s="46">
        <v>18</v>
      </c>
      <c r="AF16" s="97">
        <v>0</v>
      </c>
    </row>
    <row r="17" spans="1:32" ht="16.5" customHeight="1" x14ac:dyDescent="0.25">
      <c r="A17" s="70" t="s">
        <v>167</v>
      </c>
      <c r="B17" s="52"/>
      <c r="C17" s="98"/>
      <c r="D17" s="98"/>
      <c r="E17" s="98"/>
      <c r="F17" s="100"/>
      <c r="G17" s="99"/>
      <c r="H17" s="99">
        <f t="shared" si="0"/>
        <v>0</v>
      </c>
      <c r="I17" s="45">
        <v>6</v>
      </c>
      <c r="J17" s="99"/>
      <c r="K17" s="99"/>
      <c r="L17" s="99">
        <f t="shared" si="1"/>
        <v>0</v>
      </c>
      <c r="M17" s="45">
        <v>1</v>
      </c>
      <c r="N17" s="46">
        <f t="shared" si="2"/>
        <v>6</v>
      </c>
      <c r="O17" s="97">
        <f t="shared" si="3"/>
        <v>1</v>
      </c>
      <c r="P17" s="46">
        <v>6</v>
      </c>
      <c r="Q17" s="97">
        <v>1</v>
      </c>
      <c r="R17" s="70" t="s">
        <v>171</v>
      </c>
      <c r="S17" s="52"/>
      <c r="T17" s="98"/>
      <c r="U17" s="100"/>
      <c r="V17" s="99"/>
      <c r="W17" s="99">
        <f t="shared" si="5"/>
        <v>0</v>
      </c>
      <c r="X17" s="45">
        <v>1</v>
      </c>
      <c r="Y17" s="99"/>
      <c r="Z17" s="99"/>
      <c r="AA17" s="99">
        <f t="shared" si="6"/>
        <v>0</v>
      </c>
      <c r="AB17" s="45"/>
      <c r="AC17" s="46">
        <f t="shared" si="7"/>
        <v>1</v>
      </c>
      <c r="AD17" s="97">
        <f t="shared" si="8"/>
        <v>0</v>
      </c>
      <c r="AE17" s="46">
        <v>1</v>
      </c>
      <c r="AF17" s="97">
        <v>0</v>
      </c>
    </row>
    <row r="18" spans="1:32" ht="16.5" customHeight="1" x14ac:dyDescent="0.25">
      <c r="A18" s="70" t="s">
        <v>168</v>
      </c>
      <c r="B18" s="52"/>
      <c r="C18" s="98"/>
      <c r="D18" s="98"/>
      <c r="E18" s="98"/>
      <c r="F18" s="100"/>
      <c r="G18" s="99"/>
      <c r="H18" s="99">
        <f t="shared" si="0"/>
        <v>0</v>
      </c>
      <c r="I18" s="45">
        <v>1</v>
      </c>
      <c r="J18" s="99"/>
      <c r="K18" s="99"/>
      <c r="L18" s="99">
        <f t="shared" si="1"/>
        <v>0</v>
      </c>
      <c r="M18" s="45"/>
      <c r="N18" s="46">
        <f t="shared" si="2"/>
        <v>1</v>
      </c>
      <c r="O18" s="97">
        <f t="shared" si="3"/>
        <v>0</v>
      </c>
      <c r="P18" s="46">
        <v>1</v>
      </c>
      <c r="Q18" s="97">
        <v>0</v>
      </c>
      <c r="R18" s="70" t="s">
        <v>172</v>
      </c>
      <c r="S18" s="52"/>
      <c r="T18" s="98"/>
      <c r="U18" s="100">
        <v>1</v>
      </c>
      <c r="V18" s="99"/>
      <c r="W18" s="99">
        <f t="shared" si="5"/>
        <v>1</v>
      </c>
      <c r="X18" s="45"/>
      <c r="Y18" s="99"/>
      <c r="Z18" s="99"/>
      <c r="AA18" s="99">
        <f t="shared" si="6"/>
        <v>0</v>
      </c>
      <c r="AB18" s="45"/>
      <c r="AC18" s="46">
        <f t="shared" si="7"/>
        <v>1</v>
      </c>
      <c r="AD18" s="97">
        <f t="shared" si="8"/>
        <v>0</v>
      </c>
      <c r="AE18" s="46">
        <v>1</v>
      </c>
      <c r="AF18" s="97">
        <v>0</v>
      </c>
    </row>
    <row r="19" spans="1:32" ht="16.5" customHeight="1" x14ac:dyDescent="0.25">
      <c r="A19" s="70" t="s">
        <v>141</v>
      </c>
      <c r="B19" s="44"/>
      <c r="C19" s="98"/>
      <c r="D19" s="98"/>
      <c r="E19" s="98"/>
      <c r="F19" s="100">
        <v>2</v>
      </c>
      <c r="G19" s="99">
        <v>1</v>
      </c>
      <c r="H19" s="99">
        <f t="shared" si="0"/>
        <v>3</v>
      </c>
      <c r="I19" s="45"/>
      <c r="J19" s="99"/>
      <c r="K19" s="99"/>
      <c r="L19" s="99">
        <f t="shared" si="1"/>
        <v>0</v>
      </c>
      <c r="M19" s="45"/>
      <c r="N19" s="46">
        <f t="shared" si="2"/>
        <v>3</v>
      </c>
      <c r="O19" s="97">
        <f t="shared" si="3"/>
        <v>0</v>
      </c>
      <c r="P19" s="46">
        <v>3</v>
      </c>
      <c r="Q19" s="97">
        <v>0</v>
      </c>
      <c r="R19" s="70" t="s">
        <v>144</v>
      </c>
      <c r="S19" s="44"/>
      <c r="T19" s="98"/>
      <c r="U19" s="100">
        <v>6</v>
      </c>
      <c r="V19" s="99"/>
      <c r="W19" s="99">
        <f t="shared" si="5"/>
        <v>6</v>
      </c>
      <c r="X19" s="45"/>
      <c r="Y19" s="99"/>
      <c r="Z19" s="99"/>
      <c r="AA19" s="99">
        <f t="shared" si="6"/>
        <v>0</v>
      </c>
      <c r="AB19" s="45"/>
      <c r="AC19" s="46">
        <f t="shared" si="7"/>
        <v>6</v>
      </c>
      <c r="AD19" s="97">
        <f t="shared" si="8"/>
        <v>0</v>
      </c>
      <c r="AE19" s="46">
        <v>6</v>
      </c>
      <c r="AF19" s="97">
        <v>0</v>
      </c>
    </row>
    <row r="20" spans="1:32" ht="16.5" customHeight="1" x14ac:dyDescent="0.25">
      <c r="A20" s="70" t="s">
        <v>143</v>
      </c>
      <c r="B20" s="44"/>
      <c r="C20" s="98"/>
      <c r="D20" s="98"/>
      <c r="E20" s="98">
        <v>-5</v>
      </c>
      <c r="F20" s="100">
        <v>362</v>
      </c>
      <c r="G20" s="99">
        <v>1</v>
      </c>
      <c r="H20" s="99">
        <f t="shared" si="0"/>
        <v>363</v>
      </c>
      <c r="I20" s="45">
        <v>5</v>
      </c>
      <c r="J20" s="99">
        <v>3</v>
      </c>
      <c r="K20" s="99"/>
      <c r="L20" s="99">
        <f t="shared" si="1"/>
        <v>3</v>
      </c>
      <c r="M20" s="45"/>
      <c r="N20" s="46">
        <f t="shared" si="2"/>
        <v>363</v>
      </c>
      <c r="O20" s="97">
        <f t="shared" si="3"/>
        <v>3</v>
      </c>
      <c r="P20" s="46">
        <v>366</v>
      </c>
      <c r="Q20" s="97">
        <v>0</v>
      </c>
      <c r="R20" s="70" t="s">
        <v>146</v>
      </c>
      <c r="S20" s="52"/>
      <c r="T20" s="98"/>
      <c r="U20" s="100">
        <v>182</v>
      </c>
      <c r="V20" s="99">
        <v>6</v>
      </c>
      <c r="W20" s="99">
        <f t="shared" si="5"/>
        <v>188</v>
      </c>
      <c r="X20" s="45">
        <v>1</v>
      </c>
      <c r="Y20" s="99">
        <v>2</v>
      </c>
      <c r="Z20" s="99"/>
      <c r="AA20" s="99">
        <f t="shared" si="6"/>
        <v>2</v>
      </c>
      <c r="AB20" s="45"/>
      <c r="AC20" s="46">
        <f t="shared" si="7"/>
        <v>189</v>
      </c>
      <c r="AD20" s="97">
        <f t="shared" si="8"/>
        <v>2</v>
      </c>
      <c r="AE20" s="46">
        <v>191</v>
      </c>
      <c r="AF20" s="97">
        <v>0</v>
      </c>
    </row>
    <row r="21" spans="1:32" ht="16.5" customHeight="1" x14ac:dyDescent="0.25">
      <c r="A21" s="70" t="s">
        <v>145</v>
      </c>
      <c r="B21" s="44"/>
      <c r="C21" s="98"/>
      <c r="D21" s="98"/>
      <c r="E21" s="98"/>
      <c r="F21" s="100">
        <v>4</v>
      </c>
      <c r="G21" s="99"/>
      <c r="H21" s="99">
        <f t="shared" si="0"/>
        <v>4</v>
      </c>
      <c r="I21" s="45"/>
      <c r="J21" s="99"/>
      <c r="K21" s="99"/>
      <c r="L21" s="99">
        <f t="shared" si="1"/>
        <v>0</v>
      </c>
      <c r="M21" s="45"/>
      <c r="N21" s="46">
        <f t="shared" si="2"/>
        <v>4</v>
      </c>
      <c r="O21" s="97">
        <f t="shared" si="3"/>
        <v>0</v>
      </c>
      <c r="P21" s="46">
        <v>4</v>
      </c>
      <c r="Q21" s="97">
        <v>0</v>
      </c>
      <c r="R21" s="70" t="s">
        <v>148</v>
      </c>
      <c r="S21" s="52"/>
      <c r="T21" s="98"/>
      <c r="U21" s="100"/>
      <c r="V21" s="99">
        <v>1</v>
      </c>
      <c r="W21" s="99">
        <f t="shared" si="5"/>
        <v>1</v>
      </c>
      <c r="X21" s="45"/>
      <c r="Y21" s="99"/>
      <c r="Z21" s="99"/>
      <c r="AA21" s="99">
        <f t="shared" si="6"/>
        <v>0</v>
      </c>
      <c r="AB21" s="45"/>
      <c r="AC21" s="46">
        <f t="shared" si="7"/>
        <v>1</v>
      </c>
      <c r="AD21" s="97">
        <f t="shared" si="8"/>
        <v>0</v>
      </c>
      <c r="AE21" s="46">
        <v>1</v>
      </c>
      <c r="AF21" s="97">
        <v>0</v>
      </c>
    </row>
    <row r="22" spans="1:32" ht="16.5" customHeight="1" x14ac:dyDescent="0.25">
      <c r="A22" s="70" t="s">
        <v>147</v>
      </c>
      <c r="B22" s="52"/>
      <c r="C22" s="98"/>
      <c r="D22" s="98"/>
      <c r="E22" s="98"/>
      <c r="F22" s="100">
        <v>144</v>
      </c>
      <c r="G22" s="99"/>
      <c r="H22" s="99">
        <f t="shared" si="0"/>
        <v>144</v>
      </c>
      <c r="I22" s="45">
        <v>5</v>
      </c>
      <c r="J22" s="99">
        <v>11</v>
      </c>
      <c r="K22" s="99"/>
      <c r="L22" s="99">
        <f t="shared" si="1"/>
        <v>11</v>
      </c>
      <c r="M22" s="45"/>
      <c r="N22" s="46">
        <f t="shared" si="2"/>
        <v>149</v>
      </c>
      <c r="O22" s="97">
        <f t="shared" si="3"/>
        <v>11</v>
      </c>
      <c r="P22" s="46">
        <v>160</v>
      </c>
      <c r="Q22" s="97">
        <v>0</v>
      </c>
      <c r="R22" s="70" t="s">
        <v>150</v>
      </c>
      <c r="S22" s="44"/>
      <c r="T22" s="98"/>
      <c r="U22" s="100">
        <v>55</v>
      </c>
      <c r="V22" s="99"/>
      <c r="W22" s="99">
        <f t="shared" si="5"/>
        <v>55</v>
      </c>
      <c r="X22" s="45"/>
      <c r="Y22" s="99">
        <v>10</v>
      </c>
      <c r="Z22" s="99"/>
      <c r="AA22" s="99">
        <f t="shared" si="6"/>
        <v>10</v>
      </c>
      <c r="AB22" s="45"/>
      <c r="AC22" s="46">
        <f t="shared" si="7"/>
        <v>55</v>
      </c>
      <c r="AD22" s="97">
        <f t="shared" si="8"/>
        <v>10</v>
      </c>
      <c r="AE22" s="46">
        <v>65</v>
      </c>
      <c r="AF22" s="97">
        <v>0</v>
      </c>
    </row>
    <row r="23" spans="1:32" ht="16.5" customHeight="1" x14ac:dyDescent="0.25">
      <c r="A23" s="70" t="s">
        <v>149</v>
      </c>
      <c r="B23" s="44"/>
      <c r="C23" s="98"/>
      <c r="D23" s="98"/>
      <c r="E23" s="98"/>
      <c r="F23" s="100">
        <v>6</v>
      </c>
      <c r="G23" s="99"/>
      <c r="H23" s="99">
        <f t="shared" si="0"/>
        <v>6</v>
      </c>
      <c r="I23" s="45">
        <v>2</v>
      </c>
      <c r="J23" s="99"/>
      <c r="K23" s="99"/>
      <c r="L23" s="99">
        <f t="shared" si="1"/>
        <v>0</v>
      </c>
      <c r="M23" s="45"/>
      <c r="N23" s="46">
        <f t="shared" si="2"/>
        <v>8</v>
      </c>
      <c r="O23" s="97">
        <f t="shared" si="3"/>
        <v>0</v>
      </c>
      <c r="P23" s="46">
        <v>8</v>
      </c>
      <c r="Q23" s="97">
        <v>0</v>
      </c>
      <c r="R23" s="70" t="s">
        <v>152</v>
      </c>
      <c r="S23" s="52"/>
      <c r="T23" s="98"/>
      <c r="U23" s="100">
        <v>7</v>
      </c>
      <c r="V23" s="99"/>
      <c r="W23" s="99">
        <f t="shared" si="5"/>
        <v>7</v>
      </c>
      <c r="X23" s="45"/>
      <c r="Y23" s="99">
        <v>1</v>
      </c>
      <c r="Z23" s="99"/>
      <c r="AA23" s="99">
        <f t="shared" si="6"/>
        <v>1</v>
      </c>
      <c r="AB23" s="45"/>
      <c r="AC23" s="46">
        <f t="shared" si="7"/>
        <v>7</v>
      </c>
      <c r="AD23" s="97">
        <f t="shared" si="8"/>
        <v>1</v>
      </c>
      <c r="AE23" s="46">
        <v>8</v>
      </c>
      <c r="AF23" s="97">
        <v>0</v>
      </c>
    </row>
    <row r="24" spans="1:32" ht="16.5" customHeight="1" x14ac:dyDescent="0.25">
      <c r="A24" s="70" t="s">
        <v>151</v>
      </c>
      <c r="B24" s="52"/>
      <c r="C24" s="98"/>
      <c r="D24" s="98"/>
      <c r="E24" s="98"/>
      <c r="F24" s="100">
        <v>2</v>
      </c>
      <c r="G24" s="99">
        <v>1</v>
      </c>
      <c r="H24" s="99">
        <f t="shared" si="0"/>
        <v>3</v>
      </c>
      <c r="I24" s="45">
        <v>1</v>
      </c>
      <c r="J24" s="99"/>
      <c r="K24" s="99"/>
      <c r="L24" s="99">
        <f t="shared" si="1"/>
        <v>0</v>
      </c>
      <c r="M24" s="45"/>
      <c r="N24" s="46">
        <f t="shared" si="2"/>
        <v>4</v>
      </c>
      <c r="O24" s="97">
        <f t="shared" si="3"/>
        <v>0</v>
      </c>
      <c r="P24" s="46">
        <v>4</v>
      </c>
      <c r="Q24" s="97">
        <v>0</v>
      </c>
      <c r="R24" s="70" t="s">
        <v>154</v>
      </c>
      <c r="S24" s="44"/>
      <c r="T24" s="98"/>
      <c r="U24" s="100">
        <v>6</v>
      </c>
      <c r="V24" s="99"/>
      <c r="W24" s="99">
        <f t="shared" si="5"/>
        <v>6</v>
      </c>
      <c r="X24" s="45">
        <v>1</v>
      </c>
      <c r="Y24" s="99">
        <v>3</v>
      </c>
      <c r="Z24" s="99"/>
      <c r="AA24" s="99">
        <f t="shared" si="6"/>
        <v>3</v>
      </c>
      <c r="AB24" s="45"/>
      <c r="AC24" s="46">
        <f t="shared" si="7"/>
        <v>7</v>
      </c>
      <c r="AD24" s="97">
        <f t="shared" si="8"/>
        <v>3</v>
      </c>
      <c r="AE24" s="46">
        <v>10</v>
      </c>
      <c r="AF24" s="97">
        <v>0</v>
      </c>
    </row>
    <row r="25" spans="1:32" ht="16.5" customHeight="1" x14ac:dyDescent="0.25">
      <c r="A25" s="70" t="s">
        <v>153</v>
      </c>
      <c r="B25" s="44"/>
      <c r="C25" s="98"/>
      <c r="D25" s="98"/>
      <c r="E25" s="98"/>
      <c r="F25" s="100">
        <v>13</v>
      </c>
      <c r="G25" s="99"/>
      <c r="H25" s="99">
        <f t="shared" si="0"/>
        <v>13</v>
      </c>
      <c r="I25" s="45"/>
      <c r="J25" s="99"/>
      <c r="K25" s="99"/>
      <c r="L25" s="99">
        <f t="shared" si="1"/>
        <v>0</v>
      </c>
      <c r="M25" s="45"/>
      <c r="N25" s="46">
        <f t="shared" si="2"/>
        <v>13</v>
      </c>
      <c r="O25" s="97">
        <f t="shared" si="3"/>
        <v>0</v>
      </c>
      <c r="P25" s="46">
        <v>13</v>
      </c>
      <c r="Q25" s="97">
        <v>0</v>
      </c>
      <c r="R25" s="70" t="s">
        <v>156</v>
      </c>
      <c r="S25" s="52"/>
      <c r="T25" s="98"/>
      <c r="U25" s="100">
        <v>3</v>
      </c>
      <c r="V25" s="99"/>
      <c r="W25" s="99">
        <f t="shared" si="5"/>
        <v>3</v>
      </c>
      <c r="X25" s="45"/>
      <c r="Y25" s="99"/>
      <c r="Z25" s="99"/>
      <c r="AA25" s="99">
        <f t="shared" si="6"/>
        <v>0</v>
      </c>
      <c r="AB25" s="45"/>
      <c r="AC25" s="46">
        <f t="shared" si="7"/>
        <v>3</v>
      </c>
      <c r="AD25" s="97">
        <f t="shared" si="8"/>
        <v>0</v>
      </c>
      <c r="AE25" s="46">
        <v>3</v>
      </c>
      <c r="AF25" s="97">
        <v>0</v>
      </c>
    </row>
    <row r="26" spans="1:32" ht="16.5" customHeight="1" x14ac:dyDescent="0.25">
      <c r="A26" s="70" t="s">
        <v>155</v>
      </c>
      <c r="B26" s="44"/>
      <c r="C26" s="98"/>
      <c r="D26" s="98"/>
      <c r="E26" s="98"/>
      <c r="F26" s="100">
        <v>4</v>
      </c>
      <c r="G26" s="99"/>
      <c r="H26" s="99">
        <f t="shared" si="0"/>
        <v>4</v>
      </c>
      <c r="I26" s="45"/>
      <c r="J26" s="99"/>
      <c r="K26" s="99"/>
      <c r="L26" s="99">
        <f t="shared" si="1"/>
        <v>0</v>
      </c>
      <c r="M26" s="45"/>
      <c r="N26" s="46">
        <f t="shared" si="2"/>
        <v>4</v>
      </c>
      <c r="O26" s="97">
        <f t="shared" si="3"/>
        <v>0</v>
      </c>
      <c r="P26" s="46">
        <v>4</v>
      </c>
      <c r="Q26" s="97">
        <v>0</v>
      </c>
      <c r="R26" s="70" t="s">
        <v>158</v>
      </c>
      <c r="S26" s="44"/>
      <c r="T26" s="98"/>
      <c r="U26" s="100">
        <v>15</v>
      </c>
      <c r="V26" s="99">
        <v>2</v>
      </c>
      <c r="W26" s="99">
        <f t="shared" si="5"/>
        <v>17</v>
      </c>
      <c r="X26" s="45"/>
      <c r="Y26" s="99"/>
      <c r="Z26" s="99"/>
      <c r="AA26" s="99">
        <f t="shared" si="6"/>
        <v>0</v>
      </c>
      <c r="AB26" s="45"/>
      <c r="AC26" s="46">
        <f t="shared" si="7"/>
        <v>17</v>
      </c>
      <c r="AD26" s="97">
        <f t="shared" si="8"/>
        <v>0</v>
      </c>
      <c r="AE26" s="46">
        <v>17</v>
      </c>
      <c r="AF26" s="97">
        <v>0</v>
      </c>
    </row>
    <row r="27" spans="1:32" ht="16.5" customHeight="1" x14ac:dyDescent="0.25">
      <c r="A27" s="70" t="s">
        <v>157</v>
      </c>
      <c r="B27" s="44"/>
      <c r="C27" s="98"/>
      <c r="D27" s="98"/>
      <c r="E27" s="98"/>
      <c r="F27" s="100">
        <v>4</v>
      </c>
      <c r="G27" s="99"/>
      <c r="H27" s="99">
        <f t="shared" si="0"/>
        <v>4</v>
      </c>
      <c r="I27" s="45"/>
      <c r="J27" s="99">
        <v>1</v>
      </c>
      <c r="K27" s="99"/>
      <c r="L27" s="99">
        <f t="shared" si="1"/>
        <v>1</v>
      </c>
      <c r="M27" s="45"/>
      <c r="N27" s="46">
        <f t="shared" si="2"/>
        <v>4</v>
      </c>
      <c r="O27" s="97">
        <f t="shared" si="3"/>
        <v>1</v>
      </c>
      <c r="P27" s="46">
        <v>5</v>
      </c>
      <c r="Q27" s="97">
        <v>0</v>
      </c>
      <c r="R27" s="70" t="s">
        <v>160</v>
      </c>
      <c r="S27" s="44"/>
      <c r="T27" s="98"/>
      <c r="U27" s="100">
        <v>1</v>
      </c>
      <c r="V27" s="99"/>
      <c r="W27" s="99">
        <f t="shared" si="5"/>
        <v>1</v>
      </c>
      <c r="X27" s="45"/>
      <c r="Y27" s="99">
        <v>5</v>
      </c>
      <c r="Z27" s="99"/>
      <c r="AA27" s="99">
        <f t="shared" si="6"/>
        <v>5</v>
      </c>
      <c r="AB27" s="45"/>
      <c r="AC27" s="46">
        <f t="shared" si="7"/>
        <v>1</v>
      </c>
      <c r="AD27" s="97">
        <f t="shared" si="8"/>
        <v>5</v>
      </c>
      <c r="AE27" s="46">
        <v>6</v>
      </c>
      <c r="AF27" s="97">
        <v>0</v>
      </c>
    </row>
    <row r="28" spans="1:32" ht="16.5" customHeight="1" x14ac:dyDescent="0.25">
      <c r="A28" s="70" t="s">
        <v>159</v>
      </c>
      <c r="B28" s="44"/>
      <c r="C28" s="98"/>
      <c r="D28" s="98"/>
      <c r="E28" s="98">
        <v>-5</v>
      </c>
      <c r="F28" s="100">
        <v>536</v>
      </c>
      <c r="G28" s="99">
        <v>114</v>
      </c>
      <c r="H28" s="99">
        <f t="shared" si="0"/>
        <v>650</v>
      </c>
      <c r="I28" s="45">
        <v>189</v>
      </c>
      <c r="J28" s="99">
        <v>7</v>
      </c>
      <c r="K28" s="99"/>
      <c r="L28" s="99">
        <f t="shared" si="1"/>
        <v>7</v>
      </c>
      <c r="M28" s="45">
        <v>4</v>
      </c>
      <c r="N28" s="46">
        <f t="shared" si="2"/>
        <v>834</v>
      </c>
      <c r="O28" s="97">
        <f t="shared" si="3"/>
        <v>11</v>
      </c>
      <c r="P28" s="46">
        <v>841</v>
      </c>
      <c r="Q28" s="97">
        <v>4</v>
      </c>
      <c r="R28" s="70" t="s">
        <v>162</v>
      </c>
      <c r="S28" s="52"/>
      <c r="T28" s="98"/>
      <c r="U28" s="100">
        <v>1</v>
      </c>
      <c r="V28" s="99">
        <v>2</v>
      </c>
      <c r="W28" s="99">
        <f t="shared" si="5"/>
        <v>3</v>
      </c>
      <c r="X28" s="45"/>
      <c r="Y28" s="99"/>
      <c r="Z28" s="99">
        <v>2</v>
      </c>
      <c r="AA28" s="99">
        <f t="shared" si="6"/>
        <v>2</v>
      </c>
      <c r="AB28" s="45"/>
      <c r="AC28" s="46">
        <f t="shared" si="7"/>
        <v>3</v>
      </c>
      <c r="AD28" s="97">
        <f t="shared" si="8"/>
        <v>2</v>
      </c>
      <c r="AE28" s="46">
        <v>5</v>
      </c>
      <c r="AF28" s="97">
        <v>0</v>
      </c>
    </row>
    <row r="29" spans="1:32" ht="16.5" customHeight="1" x14ac:dyDescent="0.25">
      <c r="A29" s="70" t="s">
        <v>161</v>
      </c>
      <c r="B29" s="44"/>
      <c r="C29" s="98"/>
      <c r="D29" s="98"/>
      <c r="E29" s="98"/>
      <c r="F29" s="100">
        <v>7</v>
      </c>
      <c r="G29" s="99"/>
      <c r="H29" s="99">
        <f t="shared" si="0"/>
        <v>7</v>
      </c>
      <c r="I29" s="45"/>
      <c r="J29" s="99"/>
      <c r="K29" s="99"/>
      <c r="L29" s="99">
        <f t="shared" si="1"/>
        <v>0</v>
      </c>
      <c r="M29" s="45"/>
      <c r="N29" s="46">
        <f t="shared" si="2"/>
        <v>7</v>
      </c>
      <c r="O29" s="97">
        <f t="shared" si="3"/>
        <v>0</v>
      </c>
      <c r="P29" s="46">
        <v>7</v>
      </c>
      <c r="Q29" s="97">
        <v>0</v>
      </c>
      <c r="R29" s="111"/>
      <c r="S29" s="52"/>
      <c r="T29" s="52"/>
      <c r="U29" s="114">
        <v>0</v>
      </c>
      <c r="V29" s="99"/>
      <c r="W29" s="99"/>
      <c r="X29" s="45"/>
      <c r="Y29" s="100"/>
      <c r="Z29" s="99"/>
      <c r="AA29" s="99"/>
      <c r="AB29" s="45"/>
      <c r="AC29" s="46"/>
      <c r="AD29" s="97"/>
      <c r="AE29" s="46"/>
      <c r="AF29" s="97"/>
    </row>
    <row r="30" spans="1:32" ht="16.5" hidden="1" customHeight="1" outlineLevel="1" x14ac:dyDescent="0.25">
      <c r="A30" s="70"/>
      <c r="B30" s="52"/>
      <c r="C30" s="98"/>
      <c r="D30" s="98"/>
      <c r="E30" s="98"/>
      <c r="F30" s="100"/>
      <c r="G30" s="45"/>
      <c r="H30" s="45"/>
      <c r="I30" s="45"/>
      <c r="J30" s="99"/>
      <c r="K30" s="52"/>
      <c r="L30" s="52"/>
      <c r="M30" s="52"/>
      <c r="N30" s="46"/>
      <c r="O30" s="97"/>
      <c r="P30" s="46"/>
      <c r="Q30" s="97"/>
      <c r="R30" s="111"/>
      <c r="S30" s="52"/>
      <c r="T30" s="52"/>
      <c r="U30" s="114"/>
      <c r="V30" s="45"/>
      <c r="W30" s="45"/>
      <c r="X30" s="45"/>
      <c r="Y30" s="100"/>
      <c r="Z30" s="45"/>
      <c r="AA30" s="45"/>
      <c r="AB30" s="45"/>
      <c r="AC30" s="112"/>
      <c r="AD30" s="113"/>
      <c r="AE30" s="46"/>
      <c r="AF30" s="97"/>
    </row>
    <row r="31" spans="1:32" ht="16.5" hidden="1" customHeight="1" outlineLevel="1" x14ac:dyDescent="0.25">
      <c r="A31" s="73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72"/>
      <c r="P31" s="52"/>
      <c r="Q31" s="72"/>
      <c r="R31" s="74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72"/>
      <c r="AE31" s="52"/>
      <c r="AF31" s="72"/>
    </row>
    <row r="32" spans="1:32" ht="16.5" hidden="1" customHeight="1" outlineLevel="1" x14ac:dyDescent="0.25">
      <c r="A32" s="73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72"/>
      <c r="P32" s="52"/>
      <c r="Q32" s="72"/>
      <c r="R32" s="74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72"/>
      <c r="AE32" s="52"/>
      <c r="AF32" s="72"/>
    </row>
    <row r="33" spans="1:32" ht="16.5" hidden="1" customHeight="1" outlineLevel="1" x14ac:dyDescent="0.25">
      <c r="A33" s="73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72"/>
      <c r="P33" s="52"/>
      <c r="Q33" s="72"/>
      <c r="R33" s="74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72"/>
      <c r="AE33" s="52"/>
      <c r="AF33" s="72"/>
    </row>
    <row r="34" spans="1:32" ht="14.4" collapsed="1" thickBot="1" x14ac:dyDescent="0.3">
      <c r="A34" s="75" t="s">
        <v>112</v>
      </c>
      <c r="B34" s="57"/>
      <c r="C34" s="58">
        <f t="shared" ref="C34:O34" si="9">SUM(C4:C33)</f>
        <v>0</v>
      </c>
      <c r="D34" s="58">
        <f t="shared" si="9"/>
        <v>0</v>
      </c>
      <c r="E34" s="116">
        <f t="shared" si="9"/>
        <v>-10</v>
      </c>
      <c r="F34" s="58">
        <f t="shared" si="9"/>
        <v>1406</v>
      </c>
      <c r="G34" s="58">
        <f t="shared" si="9"/>
        <v>129</v>
      </c>
      <c r="H34" s="58">
        <f t="shared" si="9"/>
        <v>1535</v>
      </c>
      <c r="I34" s="116">
        <f t="shared" si="9"/>
        <v>214</v>
      </c>
      <c r="J34" s="58">
        <f t="shared" si="9"/>
        <v>27</v>
      </c>
      <c r="K34" s="58">
        <f t="shared" si="9"/>
        <v>0</v>
      </c>
      <c r="L34" s="58">
        <f t="shared" si="9"/>
        <v>27</v>
      </c>
      <c r="M34" s="116">
        <f t="shared" si="9"/>
        <v>5</v>
      </c>
      <c r="N34" s="116">
        <f t="shared" si="9"/>
        <v>1739</v>
      </c>
      <c r="O34" s="118">
        <f t="shared" si="9"/>
        <v>32</v>
      </c>
      <c r="P34" s="119">
        <f>SUM(P4:P33)</f>
        <v>1766</v>
      </c>
      <c r="Q34" s="116">
        <f>SUM(Q4:Q33)</f>
        <v>5</v>
      </c>
      <c r="R34" s="76"/>
      <c r="S34" s="65" t="s">
        <v>103</v>
      </c>
      <c r="T34" s="116">
        <f t="shared" ref="T34:AD34" si="10">SUM(T4:T33)</f>
        <v>-11</v>
      </c>
      <c r="U34" s="58">
        <f t="shared" si="10"/>
        <v>1767</v>
      </c>
      <c r="V34" s="58">
        <f t="shared" si="10"/>
        <v>152</v>
      </c>
      <c r="W34" s="58">
        <f t="shared" si="10"/>
        <v>1919</v>
      </c>
      <c r="X34" s="116">
        <f t="shared" si="10"/>
        <v>219</v>
      </c>
      <c r="Y34" s="58">
        <f t="shared" si="10"/>
        <v>51</v>
      </c>
      <c r="Z34" s="58">
        <f t="shared" si="10"/>
        <v>2</v>
      </c>
      <c r="AA34" s="58">
        <f t="shared" si="10"/>
        <v>53</v>
      </c>
      <c r="AB34" s="116">
        <f t="shared" si="10"/>
        <v>5</v>
      </c>
      <c r="AC34" s="116">
        <f t="shared" si="10"/>
        <v>2127</v>
      </c>
      <c r="AD34" s="117">
        <f t="shared" si="10"/>
        <v>58</v>
      </c>
      <c r="AE34" s="119">
        <f>SUM(AE4:AE33)</f>
        <v>2179</v>
      </c>
      <c r="AF34" s="120">
        <f>SUM(AF4:AF33)</f>
        <v>6</v>
      </c>
    </row>
    <row r="35" spans="1:32" ht="13.8" thickBo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3.8" thickBo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T36"/>
      <c r="U36"/>
      <c r="V36"/>
      <c r="W36"/>
      <c r="X36"/>
      <c r="Y36"/>
      <c r="Z36"/>
      <c r="AA36"/>
      <c r="AB36"/>
      <c r="AC36" s="108">
        <f>+AC34+AD34</f>
        <v>2185</v>
      </c>
      <c r="AD36" s="109"/>
      <c r="AE36" s="108">
        <f>+AE34+AF34</f>
        <v>2185</v>
      </c>
      <c r="AF36" s="109"/>
    </row>
    <row r="37" spans="1:32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x14ac:dyDescent="0.25">
      <c r="A38" s="121" t="s">
        <v>173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32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P65"/>
      <c r="R65"/>
      <c r="T65"/>
      <c r="U65"/>
      <c r="V65"/>
      <c r="W65"/>
      <c r="X65"/>
      <c r="Y65"/>
      <c r="Z65"/>
      <c r="AA65"/>
      <c r="AB65"/>
      <c r="AC65"/>
      <c r="AE65"/>
    </row>
    <row r="66" spans="1:32" x14ac:dyDescent="0.25">
      <c r="B66"/>
      <c r="R66"/>
    </row>
    <row r="67" spans="1:32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x14ac:dyDescent="0.25">
      <c r="B69"/>
      <c r="R69"/>
    </row>
    <row r="70" spans="1:32" x14ac:dyDescent="0.25">
      <c r="B70"/>
      <c r="R70"/>
    </row>
    <row r="71" spans="1:32" x14ac:dyDescent="0.25">
      <c r="B71"/>
      <c r="O71" s="68"/>
      <c r="Q71" s="68"/>
      <c r="R71"/>
      <c r="AD71" s="68"/>
      <c r="AF71" s="68"/>
    </row>
    <row r="72" spans="1:32" x14ac:dyDescent="0.25">
      <c r="B72"/>
      <c r="R72"/>
    </row>
    <row r="73" spans="1:32" x14ac:dyDescent="0.25">
      <c r="B73"/>
      <c r="R73"/>
    </row>
    <row r="74" spans="1:32" x14ac:dyDescent="0.25">
      <c r="B74"/>
      <c r="R74"/>
    </row>
    <row r="75" spans="1:32" x14ac:dyDescent="0.25">
      <c r="B75"/>
      <c r="R75"/>
    </row>
    <row r="76" spans="1:32" x14ac:dyDescent="0.25">
      <c r="B76"/>
      <c r="R76"/>
    </row>
    <row r="77" spans="1:32" x14ac:dyDescent="0.25">
      <c r="B77"/>
      <c r="R77"/>
    </row>
    <row r="78" spans="1:32" x14ac:dyDescent="0.25">
      <c r="B78"/>
      <c r="R78"/>
    </row>
    <row r="79" spans="1:32" x14ac:dyDescent="0.25">
      <c r="B79"/>
      <c r="R79"/>
    </row>
    <row r="80" spans="1:32" x14ac:dyDescent="0.25">
      <c r="B80"/>
      <c r="R80"/>
    </row>
    <row r="81" spans="2:18" x14ac:dyDescent="0.25">
      <c r="B81"/>
      <c r="R81"/>
    </row>
    <row r="82" spans="2:18" x14ac:dyDescent="0.25">
      <c r="B82"/>
      <c r="R82"/>
    </row>
    <row r="83" spans="2:18" x14ac:dyDescent="0.25">
      <c r="B83"/>
      <c r="R83"/>
    </row>
    <row r="84" spans="2:18" x14ac:dyDescent="0.25">
      <c r="B84"/>
      <c r="R84"/>
    </row>
    <row r="85" spans="2:18" x14ac:dyDescent="0.25">
      <c r="B85"/>
      <c r="R85"/>
    </row>
    <row r="86" spans="2:18" x14ac:dyDescent="0.25">
      <c r="B86"/>
      <c r="R86"/>
    </row>
    <row r="87" spans="2:18" x14ac:dyDescent="0.25">
      <c r="B87"/>
      <c r="R87"/>
    </row>
    <row r="88" spans="2:18" x14ac:dyDescent="0.25">
      <c r="B88"/>
      <c r="R88"/>
    </row>
    <row r="89" spans="2:18" x14ac:dyDescent="0.25">
      <c r="B89"/>
      <c r="R89"/>
    </row>
    <row r="90" spans="2:18" x14ac:dyDescent="0.25">
      <c r="B90"/>
      <c r="R90"/>
    </row>
    <row r="91" spans="2:18" x14ac:dyDescent="0.25">
      <c r="B91"/>
      <c r="R91"/>
    </row>
    <row r="92" spans="2:18" x14ac:dyDescent="0.25">
      <c r="B92"/>
      <c r="R92"/>
    </row>
    <row r="93" spans="2:18" x14ac:dyDescent="0.25">
      <c r="B93"/>
      <c r="R93"/>
    </row>
    <row r="94" spans="2:18" x14ac:dyDescent="0.25">
      <c r="B94"/>
      <c r="R94"/>
    </row>
    <row r="95" spans="2:18" x14ac:dyDescent="0.25">
      <c r="B95"/>
      <c r="R95"/>
    </row>
    <row r="96" spans="2:18" x14ac:dyDescent="0.25">
      <c r="B96"/>
      <c r="R96"/>
    </row>
    <row r="97" spans="2:18" x14ac:dyDescent="0.25">
      <c r="B97"/>
      <c r="R97"/>
    </row>
    <row r="98" spans="2:18" x14ac:dyDescent="0.25">
      <c r="B98"/>
      <c r="R98"/>
    </row>
    <row r="99" spans="2:18" x14ac:dyDescent="0.25">
      <c r="B99"/>
      <c r="R99"/>
    </row>
    <row r="100" spans="2:18" x14ac:dyDescent="0.25">
      <c r="B100"/>
      <c r="R100"/>
    </row>
    <row r="101" spans="2:18" x14ac:dyDescent="0.25">
      <c r="B101"/>
      <c r="R101"/>
    </row>
    <row r="102" spans="2:18" x14ac:dyDescent="0.25">
      <c r="B102"/>
      <c r="R102"/>
    </row>
    <row r="103" spans="2:18" x14ac:dyDescent="0.25">
      <c r="B103"/>
      <c r="R103"/>
    </row>
    <row r="104" spans="2:18" x14ac:dyDescent="0.25">
      <c r="B104"/>
      <c r="R104"/>
    </row>
    <row r="105" spans="2:18" x14ac:dyDescent="0.25">
      <c r="B105"/>
      <c r="R105"/>
    </row>
    <row r="106" spans="2:18" x14ac:dyDescent="0.25">
      <c r="B106"/>
      <c r="R106"/>
    </row>
    <row r="107" spans="2:18" x14ac:dyDescent="0.25">
      <c r="B107"/>
      <c r="R107"/>
    </row>
    <row r="108" spans="2:18" x14ac:dyDescent="0.25">
      <c r="B108"/>
      <c r="R108"/>
    </row>
    <row r="109" spans="2:18" x14ac:dyDescent="0.25">
      <c r="B109"/>
      <c r="R109"/>
    </row>
    <row r="110" spans="2:18" x14ac:dyDescent="0.25">
      <c r="B110"/>
      <c r="R110"/>
    </row>
    <row r="111" spans="2:18" x14ac:dyDescent="0.25">
      <c r="B111"/>
      <c r="R111"/>
    </row>
    <row r="112" spans="2:18" x14ac:dyDescent="0.25">
      <c r="B112"/>
      <c r="R112"/>
    </row>
    <row r="113" spans="2:18" x14ac:dyDescent="0.25">
      <c r="B113"/>
      <c r="R113"/>
    </row>
    <row r="114" spans="2:18" x14ac:dyDescent="0.25">
      <c r="B114"/>
      <c r="R114"/>
    </row>
    <row r="115" spans="2:18" x14ac:dyDescent="0.25">
      <c r="B115"/>
    </row>
    <row r="116" spans="2:18" x14ac:dyDescent="0.25">
      <c r="B116"/>
    </row>
    <row r="117" spans="2:18" x14ac:dyDescent="0.25">
      <c r="B117"/>
    </row>
    <row r="118" spans="2:18" x14ac:dyDescent="0.25">
      <c r="B118"/>
    </row>
    <row r="119" spans="2:18" x14ac:dyDescent="0.25">
      <c r="B119"/>
    </row>
    <row r="120" spans="2:18" x14ac:dyDescent="0.25">
      <c r="B120"/>
    </row>
    <row r="121" spans="2:18" x14ac:dyDescent="0.25">
      <c r="B121"/>
    </row>
    <row r="122" spans="2:18" x14ac:dyDescent="0.25">
      <c r="B122"/>
    </row>
    <row r="123" spans="2:18" x14ac:dyDescent="0.25">
      <c r="B123"/>
    </row>
    <row r="124" spans="2:18" x14ac:dyDescent="0.25">
      <c r="B124"/>
    </row>
    <row r="125" spans="2:18" x14ac:dyDescent="0.25">
      <c r="B125"/>
    </row>
    <row r="126" spans="2:18" x14ac:dyDescent="0.25">
      <c r="B126"/>
    </row>
    <row r="127" spans="2:18" x14ac:dyDescent="0.25">
      <c r="B127"/>
    </row>
    <row r="128" spans="2:18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</sheetData>
  <phoneticPr fontId="5" type="noConversion"/>
  <printOptions horizontalCentered="1"/>
  <pageMargins left="0" right="0" top="0.71" bottom="0.18" header="0.14000000000000001" footer="0.1"/>
  <pageSetup paperSize="9" orientation="portrait" horizontalDpi="300" verticalDpi="300" r:id="rId1"/>
  <headerFooter alignWithMargins="0">
    <oddHeader>&amp;C&amp;"Book Antiqua,Normal"&amp;14&amp;EFICHIER CADRANS SOLAIRES ÉTRANGERS
1999
&amp;12&amp;ENouvelle répartition dans le catalogue public après transfert des cadrans de musées</oddHeader>
    <oddFooter>&amp;L&amp;8Ajustement = Disparus, doublons ou restaurés&amp;R&amp;9&amp;D - S.GREGORI (01 39 74 49 29)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10</vt:i4>
      </vt:variant>
    </vt:vector>
  </HeadingPairs>
  <TitlesOfParts>
    <vt:vector size="19" baseType="lpstr">
      <vt:lpstr>Commentaires</vt:lpstr>
      <vt:lpstr>Base</vt:lpstr>
      <vt:lpstr>Base-Classt</vt:lpstr>
      <vt:lpstr>Classement</vt:lpstr>
      <vt:lpstr>Etrangers</vt:lpstr>
      <vt:lpstr>Base-Année</vt:lpstr>
      <vt:lpstr>Rang Etrangers</vt:lpstr>
      <vt:lpstr>Année</vt:lpstr>
      <vt:lpstr>Nouveaux Etrangers</vt:lpstr>
      <vt:lpstr>'Base-Année'!Base</vt:lpstr>
      <vt:lpstr>BaseA</vt:lpstr>
      <vt:lpstr>BaseC</vt:lpstr>
      <vt:lpstr>Ordreétrangersan</vt:lpstr>
      <vt:lpstr>Ordreétrangerscum</vt:lpstr>
      <vt:lpstr>Année!Zone_d_impression</vt:lpstr>
      <vt:lpstr>Base!Zone_d_impression</vt:lpstr>
      <vt:lpstr>Etrangers!Zone_d_impression</vt:lpstr>
      <vt:lpstr>'Nouveaux Etrangers'!Zone_d_impression</vt:lpstr>
      <vt:lpstr>'Rang Etrangers'!Zone_d_impression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SPAD</dc:creator>
  <cp:lastModifiedBy>Eric</cp:lastModifiedBy>
  <cp:lastPrinted>2024-11-14T20:10:14Z</cp:lastPrinted>
  <dcterms:created xsi:type="dcterms:W3CDTF">1999-09-15T16:07:16Z</dcterms:created>
  <dcterms:modified xsi:type="dcterms:W3CDTF">2024-11-14T20:12:31Z</dcterms:modified>
</cp:coreProperties>
</file>